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gennari\Desktop\"/>
    </mc:Choice>
  </mc:AlternateContent>
  <xr:revisionPtr revIDLastSave="0" documentId="13_ncr:1_{421679EA-B41B-405D-AA12-996490558F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enco pers" sheetId="2" r:id="rId1"/>
    <sheet name="Parametri" sheetId="3" r:id="rId2"/>
  </sheets>
  <externalReferences>
    <externalReference r:id="rId3"/>
  </externalReferences>
  <definedNames>
    <definedName name="_xlnm.Print_Area" localSheetId="0">'elenco pers'!$A$7:$L$278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8" i="2" l="1"/>
  <c r="F279" i="2" s="1"/>
  <c r="I177" i="2"/>
  <c r="I202" i="2"/>
  <c r="I164" i="2"/>
  <c r="I132" i="2"/>
  <c r="I104" i="2"/>
  <c r="I228" i="2"/>
  <c r="I227" i="2"/>
  <c r="I201" i="2"/>
  <c r="I103" i="2"/>
  <c r="I131" i="2"/>
  <c r="I249" i="2"/>
  <c r="I102" i="2"/>
  <c r="I200" i="2"/>
  <c r="I101" i="2"/>
  <c r="I146" i="2"/>
  <c r="I100" i="2"/>
  <c r="I99" i="2"/>
  <c r="I98" i="2"/>
  <c r="I97" i="2"/>
  <c r="I96" i="2"/>
  <c r="I95" i="2"/>
  <c r="I94" i="2"/>
  <c r="I93" i="2"/>
  <c r="I130" i="2"/>
  <c r="I92" i="2"/>
  <c r="I129" i="2"/>
  <c r="I163" i="2"/>
  <c r="I91" i="2"/>
  <c r="I90" i="2"/>
  <c r="I128" i="2"/>
  <c r="I89" i="2"/>
  <c r="I226" i="2"/>
  <c r="I248" i="2"/>
  <c r="I88" i="2"/>
  <c r="I87" i="2"/>
  <c r="I86" i="2"/>
  <c r="I247" i="2"/>
  <c r="I145" i="2"/>
  <c r="I85" i="2"/>
  <c r="I84" i="2"/>
  <c r="I199" i="2"/>
  <c r="I83" i="2"/>
  <c r="I225" i="2"/>
  <c r="I82" i="2"/>
  <c r="I198" i="2" l="1"/>
  <c r="I224" i="2"/>
  <c r="I81" i="2"/>
  <c r="I80" i="2"/>
  <c r="I79" i="2"/>
  <c r="I223" i="2"/>
  <c r="I197" i="2"/>
  <c r="I78" i="2"/>
  <c r="I196" i="2"/>
  <c r="I77" i="2"/>
  <c r="I76" i="2"/>
  <c r="I75" i="2"/>
  <c r="I127" i="2"/>
  <c r="I108" i="2"/>
  <c r="I74" i="2"/>
  <c r="I73" i="2"/>
  <c r="I72" i="2"/>
  <c r="I71" i="2"/>
  <c r="I70" i="2"/>
  <c r="I126" i="2"/>
  <c r="I222" i="2"/>
  <c r="I69" i="2"/>
  <c r="I68" i="2"/>
  <c r="I162" i="2"/>
  <c r="I246" i="2"/>
  <c r="I67" i="2"/>
  <c r="I221" i="2"/>
  <c r="I66" i="2"/>
  <c r="I65" i="2"/>
  <c r="I161" i="2"/>
  <c r="I64" i="2"/>
  <c r="I63" i="2"/>
  <c r="I125" i="2"/>
  <c r="I220" i="2"/>
  <c r="I62" i="2"/>
  <c r="I61" i="2"/>
  <c r="I60" i="2"/>
  <c r="I59" i="2"/>
  <c r="I58" i="2"/>
  <c r="I57" i="2"/>
  <c r="I56" i="2"/>
  <c r="I55" i="2"/>
  <c r="I54" i="2"/>
  <c r="I53" i="2"/>
  <c r="I195" i="2"/>
  <c r="I219" i="2"/>
  <c r="I217" i="2"/>
  <c r="I216" i="2"/>
  <c r="I218" i="2"/>
  <c r="I245" i="2"/>
  <c r="I193" i="2"/>
  <c r="I52" i="2"/>
  <c r="I51" i="2"/>
  <c r="I50" i="2"/>
  <c r="I49" i="2"/>
  <c r="I124" i="2"/>
  <c r="I48" i="2"/>
  <c r="I194" i="2"/>
  <c r="I47" i="2"/>
  <c r="I46" i="2"/>
  <c r="I45" i="2"/>
  <c r="I44" i="2"/>
  <c r="I160" i="2"/>
  <c r="I43" i="2"/>
  <c r="I159" i="2"/>
  <c r="I42" i="2"/>
  <c r="I192" i="2"/>
  <c r="I123" i="2"/>
  <c r="I41" i="2"/>
  <c r="I40" i="2"/>
  <c r="I144" i="2"/>
  <c r="I122" i="2"/>
  <c r="I121" i="2"/>
  <c r="I158" i="2"/>
  <c r="I39" i="2"/>
  <c r="I38" i="2"/>
  <c r="I120" i="2"/>
  <c r="I119" i="2"/>
  <c r="I215" i="2"/>
  <c r="I35" i="2"/>
  <c r="I36" i="2"/>
  <c r="I37" i="2"/>
  <c r="I191" i="2"/>
  <c r="I118" i="2"/>
  <c r="I244" i="2"/>
  <c r="I190" i="2"/>
  <c r="I117" i="2"/>
  <c r="I189" i="2"/>
  <c r="I34" i="2"/>
  <c r="I33" i="2"/>
  <c r="I32" i="2"/>
  <c r="I31" i="2"/>
  <c r="I176" i="2"/>
  <c r="I30" i="2"/>
  <c r="I243" i="2"/>
  <c r="I116" i="2"/>
  <c r="I115" i="2"/>
  <c r="I29" i="2"/>
  <c r="I28" i="2"/>
  <c r="I143" i="2"/>
  <c r="I214" i="2"/>
  <c r="I175" i="2"/>
  <c r="I242" i="2"/>
  <c r="I27" i="2"/>
  <c r="I26" i="2"/>
  <c r="I261" i="2"/>
  <c r="I188" i="2"/>
  <c r="I24" i="2"/>
  <c r="I25" i="2"/>
  <c r="I187" i="2"/>
  <c r="I23" i="2"/>
  <c r="I22" i="2"/>
  <c r="I21" i="2"/>
  <c r="I241" i="2"/>
  <c r="I20" i="2"/>
  <c r="I19" i="2"/>
  <c r="I18" i="2"/>
  <c r="I17" i="2"/>
  <c r="I16" i="2"/>
  <c r="I15" i="2"/>
  <c r="I13" i="2"/>
  <c r="I14" i="2"/>
  <c r="I240" i="2"/>
  <c r="I157" i="2"/>
  <c r="I12" i="2"/>
  <c r="I11" i="2"/>
  <c r="G12" i="2" l="1"/>
  <c r="G13" i="2"/>
  <c r="G14" i="2"/>
  <c r="G15" i="2"/>
  <c r="G16" i="2"/>
  <c r="G17" i="2"/>
  <c r="G19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7" i="2"/>
  <c r="G68" i="2"/>
  <c r="G69" i="2"/>
  <c r="G70" i="2"/>
  <c r="G71" i="2"/>
  <c r="G72" i="2"/>
  <c r="G73" i="2"/>
  <c r="G74" i="2"/>
  <c r="G75" i="2"/>
  <c r="G76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1" i="2"/>
  <c r="I265" i="2"/>
  <c r="I253" i="2"/>
  <c r="F251" i="2"/>
  <c r="D251" i="2"/>
  <c r="I232" i="2"/>
  <c r="I206" i="2"/>
  <c r="I181" i="2"/>
  <c r="I168" i="2"/>
  <c r="I136" i="2"/>
  <c r="K93" i="2"/>
  <c r="K59" i="2"/>
  <c r="K15" i="2"/>
  <c r="K190" i="2"/>
  <c r="G190" i="2"/>
  <c r="K131" i="2"/>
  <c r="G132" i="2"/>
  <c r="K104" i="2"/>
  <c r="K100" i="2"/>
  <c r="K95" i="2"/>
  <c r="K130" i="2"/>
  <c r="G130" i="2"/>
  <c r="K90" i="2"/>
  <c r="K226" i="2"/>
  <c r="G226" i="2"/>
  <c r="G247" i="2"/>
  <c r="K80" i="2"/>
  <c r="K76" i="2"/>
  <c r="K74" i="2"/>
  <c r="K67" i="2"/>
  <c r="K221" i="2"/>
  <c r="G221" i="2"/>
  <c r="K161" i="2"/>
  <c r="G161" i="2"/>
  <c r="K64" i="2"/>
  <c r="K61" i="2"/>
  <c r="K219" i="2"/>
  <c r="G219" i="2"/>
  <c r="K45" i="2" l="1"/>
  <c r="K160" i="2"/>
  <c r="G160" i="2"/>
  <c r="K192" i="2"/>
  <c r="G192" i="2"/>
  <c r="K123" i="2"/>
  <c r="G123" i="2"/>
  <c r="K39" i="2"/>
  <c r="K215" i="2"/>
  <c r="G215" i="2"/>
  <c r="K117" i="2"/>
  <c r="G117" i="2"/>
  <c r="K176" i="2"/>
  <c r="G176" i="2"/>
  <c r="K28" i="2"/>
  <c r="K187" i="2"/>
  <c r="G187" i="2"/>
  <c r="K21" i="2"/>
  <c r="K17" i="2"/>
  <c r="K14" i="2"/>
  <c r="K240" i="2"/>
  <c r="G240" i="2"/>
  <c r="K13" i="2"/>
  <c r="D263" i="2" l="1"/>
  <c r="F230" i="2"/>
  <c r="F204" i="2"/>
  <c r="F179" i="2"/>
  <c r="F166" i="2"/>
  <c r="D166" i="2"/>
  <c r="I150" i="2"/>
  <c r="F148" i="2"/>
  <c r="D148" i="2"/>
  <c r="F134" i="2"/>
  <c r="I107" i="2"/>
  <c r="K71" i="2"/>
  <c r="K86" i="2"/>
  <c r="K65" i="2"/>
  <c r="K228" i="2"/>
  <c r="G228" i="2"/>
  <c r="K224" i="2"/>
  <c r="G224" i="2"/>
  <c r="K69" i="2"/>
  <c r="K222" i="2"/>
  <c r="G222" i="2"/>
  <c r="G193" i="2"/>
  <c r="K193" i="2"/>
  <c r="K217" i="2"/>
  <c r="K188" i="2"/>
  <c r="K121" i="2"/>
  <c r="G121" i="2"/>
  <c r="K195" i="2"/>
  <c r="G195" i="2"/>
  <c r="K47" i="2"/>
  <c r="D230" i="2" l="1"/>
  <c r="D179" i="2"/>
  <c r="G217" i="2"/>
  <c r="G188" i="2"/>
  <c r="D66" i="2"/>
  <c r="G66" i="2" s="1"/>
  <c r="D38" i="2"/>
  <c r="G38" i="2" s="1"/>
  <c r="D20" i="2"/>
  <c r="G20" i="2" s="1"/>
  <c r="G18" i="2"/>
  <c r="D204" i="2" l="1"/>
  <c r="D134" i="2"/>
  <c r="I149" i="2"/>
  <c r="K199" i="2" l="1"/>
  <c r="K223" i="2" l="1"/>
  <c r="G223" i="2"/>
  <c r="K216" i="2"/>
  <c r="G216" i="2"/>
  <c r="K30" i="2"/>
  <c r="K42" i="2"/>
  <c r="G199" i="2"/>
  <c r="K197" i="2"/>
  <c r="G197" i="2"/>
  <c r="K194" i="2"/>
  <c r="G194" i="2"/>
  <c r="K101" i="2"/>
  <c r="K94" i="2"/>
  <c r="K115" i="2"/>
  <c r="G115" i="2"/>
  <c r="K16" i="2"/>
  <c r="G163" i="2"/>
  <c r="G159" i="2"/>
  <c r="F106" i="2"/>
  <c r="I264" i="2"/>
  <c r="F263" i="2"/>
  <c r="K261" i="2"/>
  <c r="G261" i="2"/>
  <c r="K242" i="2"/>
  <c r="K243" i="2"/>
  <c r="K245" i="2"/>
  <c r="K246" i="2"/>
  <c r="K247" i="2"/>
  <c r="K248" i="2"/>
  <c r="K249" i="2"/>
  <c r="K19" i="2"/>
  <c r="K196" i="2"/>
  <c r="K198" i="2"/>
  <c r="K200" i="2"/>
  <c r="K201" i="2"/>
  <c r="K202" i="2"/>
  <c r="K177" i="2"/>
  <c r="I167" i="2"/>
  <c r="K164" i="2"/>
  <c r="K128" i="2"/>
  <c r="K129" i="2"/>
  <c r="K132" i="2"/>
  <c r="K157" i="2"/>
  <c r="K159" i="2"/>
  <c r="I135" i="2"/>
  <c r="K85" i="2"/>
  <c r="K78" i="2"/>
  <c r="K79" i="2"/>
  <c r="K55" i="2"/>
  <c r="K56" i="2"/>
  <c r="K57" i="2"/>
  <c r="K58" i="2"/>
  <c r="K60" i="2"/>
  <c r="K62" i="2"/>
  <c r="K11" i="2"/>
  <c r="G246" i="2"/>
  <c r="G202" i="2"/>
  <c r="G201" i="2"/>
  <c r="G189" i="2"/>
  <c r="G131" i="2"/>
  <c r="I231" i="2"/>
  <c r="G263" i="2" l="1"/>
  <c r="K264" i="2"/>
  <c r="G164" i="2"/>
  <c r="K158" i="2"/>
  <c r="K162" i="2"/>
  <c r="G126" i="2"/>
  <c r="G127" i="2"/>
  <c r="G129" i="2"/>
  <c r="G119" i="2"/>
  <c r="G120" i="2"/>
  <c r="G128" i="2"/>
  <c r="G118" i="2"/>
  <c r="G122" i="2"/>
  <c r="G196" i="2"/>
  <c r="G198" i="2"/>
  <c r="G200" i="2"/>
  <c r="K189" i="2"/>
  <c r="K124" i="2"/>
  <c r="K33" i="2"/>
  <c r="K175" i="2"/>
  <c r="K241" i="2"/>
  <c r="K116" i="2"/>
  <c r="K119" i="2"/>
  <c r="K120" i="2"/>
  <c r="K122" i="2"/>
  <c r="K125" i="2"/>
  <c r="K126" i="2"/>
  <c r="K127" i="2"/>
  <c r="K118" i="2"/>
  <c r="K143" i="2"/>
  <c r="K145" i="2"/>
  <c r="K146" i="2"/>
  <c r="K218" i="2"/>
  <c r="K220" i="2"/>
  <c r="K225" i="2"/>
  <c r="K227" i="2"/>
  <c r="K214" i="2"/>
  <c r="G218" i="2"/>
  <c r="G220" i="2"/>
  <c r="G225" i="2"/>
  <c r="G227" i="2"/>
  <c r="G214" i="2"/>
  <c r="K18" i="2"/>
  <c r="G244" i="2"/>
  <c r="G191" i="2"/>
  <c r="G158" i="2"/>
  <c r="G144" i="2"/>
  <c r="K20" i="2"/>
  <c r="K22" i="2"/>
  <c r="K23" i="2"/>
  <c r="K24" i="2"/>
  <c r="K25" i="2"/>
  <c r="K26" i="2"/>
  <c r="K27" i="2"/>
  <c r="K29" i="2"/>
  <c r="K31" i="2"/>
  <c r="K32" i="2"/>
  <c r="K34" i="2"/>
  <c r="K244" i="2"/>
  <c r="K191" i="2"/>
  <c r="K35" i="2"/>
  <c r="K36" i="2"/>
  <c r="K37" i="2"/>
  <c r="K38" i="2"/>
  <c r="K163" i="2"/>
  <c r="K144" i="2"/>
  <c r="K40" i="2"/>
  <c r="K41" i="2"/>
  <c r="K43" i="2"/>
  <c r="K44" i="2"/>
  <c r="K46" i="2"/>
  <c r="K48" i="2"/>
  <c r="K49" i="2"/>
  <c r="K50" i="2"/>
  <c r="K51" i="2"/>
  <c r="K52" i="2"/>
  <c r="K53" i="2"/>
  <c r="K54" i="2"/>
  <c r="K63" i="2"/>
  <c r="K66" i="2"/>
  <c r="K68" i="2"/>
  <c r="K70" i="2"/>
  <c r="K72" i="2"/>
  <c r="K73" i="2"/>
  <c r="K75" i="2"/>
  <c r="K77" i="2"/>
  <c r="K81" i="2"/>
  <c r="K82" i="2"/>
  <c r="K83" i="2"/>
  <c r="K84" i="2"/>
  <c r="K87" i="2"/>
  <c r="K88" i="2"/>
  <c r="K89" i="2"/>
  <c r="K91" i="2"/>
  <c r="K92" i="2"/>
  <c r="K96" i="2"/>
  <c r="K97" i="2"/>
  <c r="K98" i="2"/>
  <c r="K99" i="2"/>
  <c r="K102" i="2"/>
  <c r="K103" i="2"/>
  <c r="K12" i="2"/>
  <c r="G230" i="2" l="1"/>
  <c r="G204" i="2"/>
  <c r="K149" i="2"/>
  <c r="K135" i="2"/>
  <c r="K107" i="2"/>
  <c r="K205" i="2"/>
  <c r="K167" i="2"/>
  <c r="K252" i="2"/>
  <c r="I205" i="2"/>
  <c r="K180" i="2"/>
  <c r="K231" i="2"/>
  <c r="G124" i="2"/>
  <c r="G245" i="2"/>
  <c r="G242" i="2"/>
  <c r="G249" i="2"/>
  <c r="G177" i="2"/>
  <c r="G162" i="2"/>
  <c r="I252" i="2"/>
  <c r="I180" i="2"/>
  <c r="G248" i="2"/>
  <c r="G143" i="2"/>
  <c r="G175" i="2"/>
  <c r="G116" i="2"/>
  <c r="C31" i="3"/>
  <c r="C30" i="3"/>
  <c r="C29" i="3"/>
  <c r="C28" i="3"/>
  <c r="C27" i="3"/>
  <c r="C26" i="3"/>
  <c r="C25" i="3"/>
  <c r="C24" i="3"/>
  <c r="C23" i="3"/>
  <c r="C22" i="3"/>
  <c r="C20" i="3"/>
  <c r="C19" i="3"/>
  <c r="C18" i="3"/>
  <c r="C17" i="3"/>
  <c r="C16" i="3"/>
  <c r="C15" i="3"/>
  <c r="C14" i="3"/>
  <c r="C13" i="3"/>
  <c r="C12" i="3"/>
  <c r="C11" i="3"/>
  <c r="C21" i="3"/>
  <c r="C10" i="3"/>
  <c r="D77" i="2"/>
  <c r="G243" i="2"/>
  <c r="G241" i="2"/>
  <c r="G125" i="2"/>
  <c r="G146" i="2"/>
  <c r="G157" i="2"/>
  <c r="G145" i="2"/>
  <c r="D106" i="2" l="1"/>
  <c r="G77" i="2"/>
  <c r="G251" i="2"/>
  <c r="G166" i="2"/>
  <c r="G134" i="2"/>
  <c r="G148" i="2"/>
  <c r="G179" i="2"/>
  <c r="G106" i="2" l="1"/>
  <c r="G272" i="2" s="1"/>
  <c r="H148" i="2" l="1"/>
  <c r="H230" i="2"/>
  <c r="H166" i="2"/>
  <c r="H251" i="2"/>
  <c r="H106" i="2"/>
  <c r="H179" i="2"/>
  <c r="H263" i="2"/>
  <c r="H134" i="2"/>
  <c r="H204" i="2"/>
  <c r="L145" i="2"/>
  <c r="L161" i="2"/>
  <c r="H274" i="2" l="1"/>
  <c r="L93" i="2"/>
  <c r="L116" i="2"/>
  <c r="L117" i="2"/>
  <c r="L118" i="2"/>
  <c r="L119" i="2"/>
  <c r="L123" i="2"/>
  <c r="L127" i="2"/>
  <c r="L131" i="2"/>
  <c r="L120" i="2"/>
  <c r="L124" i="2"/>
  <c r="L128" i="2"/>
  <c r="L132" i="2"/>
  <c r="L121" i="2"/>
  <c r="L125" i="2"/>
  <c r="L129" i="2"/>
  <c r="L122" i="2"/>
  <c r="L126" i="2"/>
  <c r="L130" i="2"/>
  <c r="L59" i="2"/>
  <c r="L15" i="2"/>
  <c r="L226" i="2"/>
  <c r="L190" i="2"/>
  <c r="L100" i="2"/>
  <c r="L104" i="2"/>
  <c r="L95" i="2"/>
  <c r="L80" i="2"/>
  <c r="L90" i="2"/>
  <c r="L74" i="2"/>
  <c r="L76" i="2"/>
  <c r="L64" i="2"/>
  <c r="L67" i="2"/>
  <c r="L219" i="2"/>
  <c r="L221" i="2"/>
  <c r="L45" i="2"/>
  <c r="L61" i="2"/>
  <c r="L159" i="2"/>
  <c r="L160" i="2"/>
  <c r="L192" i="2"/>
  <c r="L39" i="2"/>
  <c r="L176" i="2"/>
  <c r="L215" i="2"/>
  <c r="L21" i="2"/>
  <c r="L28" i="2"/>
  <c r="L228" i="2"/>
  <c r="L187" i="2"/>
  <c r="L14" i="2"/>
  <c r="L17" i="2"/>
  <c r="L242" i="2"/>
  <c r="L240" i="2"/>
  <c r="L71" i="2"/>
  <c r="L86" i="2"/>
  <c r="L65" i="2"/>
  <c r="L222" i="2"/>
  <c r="L224" i="2"/>
  <c r="L69" i="2"/>
  <c r="L193" i="2"/>
  <c r="L217" i="2"/>
  <c r="L188" i="2"/>
  <c r="L47" i="2"/>
  <c r="L195" i="2"/>
  <c r="L199" i="2"/>
  <c r="L194" i="2"/>
  <c r="L216" i="2"/>
  <c r="L223" i="2"/>
  <c r="L30" i="2"/>
  <c r="L42" i="2"/>
  <c r="L197" i="2"/>
  <c r="L101" i="2"/>
  <c r="L177" i="2"/>
  <c r="L94" i="2"/>
  <c r="L115" i="2"/>
  <c r="L157" i="2"/>
  <c r="L158" i="2"/>
  <c r="L163" i="2"/>
  <c r="L164" i="2"/>
  <c r="L162" i="2"/>
  <c r="L11" i="2"/>
  <c r="L16" i="2"/>
  <c r="L196" i="2"/>
  <c r="L225" i="2"/>
  <c r="L245" i="2"/>
  <c r="L243" i="2"/>
  <c r="L214" i="2"/>
  <c r="L220" i="2"/>
  <c r="L189" i="2"/>
  <c r="L146" i="2"/>
  <c r="L143" i="2"/>
  <c r="L201" i="2"/>
  <c r="L200" i="2"/>
  <c r="L227" i="2"/>
  <c r="L198" i="2"/>
  <c r="L261" i="2"/>
  <c r="L202" i="2"/>
  <c r="L175" i="2"/>
  <c r="L218" i="2"/>
  <c r="L51" i="2"/>
  <c r="L46" i="2"/>
  <c r="L58" i="2"/>
  <c r="L79" i="2"/>
  <c r="L85" i="2"/>
  <c r="L56" i="2"/>
  <c r="L25" i="2"/>
  <c r="L36" i="2"/>
  <c r="L98" i="2"/>
  <c r="L60" i="2"/>
  <c r="L88" i="2"/>
  <c r="L18" i="2"/>
  <c r="L40" i="2"/>
  <c r="L49" i="2"/>
  <c r="L34" i="2"/>
  <c r="L246" i="2"/>
  <c r="L248" i="2"/>
  <c r="L33" i="2"/>
  <c r="L29" i="2"/>
  <c r="L77" i="2"/>
  <c r="L144" i="2"/>
  <c r="L20" i="2"/>
  <c r="L26" i="2"/>
  <c r="L48" i="2"/>
  <c r="L92" i="2"/>
  <c r="L102" i="2"/>
  <c r="L103" i="2"/>
  <c r="L55" i="2"/>
  <c r="L96" i="2"/>
  <c r="L99" i="2"/>
  <c r="L70" i="2"/>
  <c r="L63" i="2"/>
  <c r="L31" i="2"/>
  <c r="L84" i="2"/>
  <c r="L41" i="2"/>
  <c r="L27" i="2"/>
  <c r="L44" i="2"/>
  <c r="L75" i="2"/>
  <c r="L43" i="2"/>
  <c r="L73" i="2"/>
  <c r="L23" i="2"/>
  <c r="L72" i="2"/>
  <c r="L54" i="2"/>
  <c r="L13" i="2"/>
  <c r="L97" i="2"/>
  <c r="L53" i="2"/>
  <c r="L91" i="2"/>
  <c r="L32" i="2"/>
  <c r="L68" i="2"/>
  <c r="L78" i="2"/>
  <c r="L62" i="2"/>
  <c r="L249" i="2"/>
  <c r="L35" i="2"/>
  <c r="L89" i="2"/>
  <c r="L50" i="2"/>
  <c r="L19" i="2"/>
  <c r="L191" i="2"/>
  <c r="L38" i="2"/>
  <c r="L57" i="2"/>
  <c r="L87" i="2"/>
  <c r="L24" i="2"/>
  <c r="L37" i="2"/>
  <c r="L52" i="2"/>
  <c r="L244" i="2"/>
  <c r="L12" i="2"/>
  <c r="L81" i="2"/>
  <c r="L82" i="2"/>
  <c r="L83" i="2"/>
  <c r="L66" i="2"/>
  <c r="L247" i="2"/>
  <c r="L241" i="2"/>
  <c r="L22" i="2"/>
  <c r="L182" i="2" l="1"/>
  <c r="L183" i="2" s="1"/>
  <c r="L254" i="2"/>
  <c r="L255" i="2" s="1"/>
  <c r="L137" i="2"/>
  <c r="L138" i="2" s="1"/>
  <c r="L109" i="2"/>
  <c r="L110" i="2" s="1"/>
  <c r="L169" i="2"/>
  <c r="L207" i="2"/>
  <c r="L208" i="2" s="1"/>
  <c r="L151" i="2"/>
  <c r="L152" i="2" s="1"/>
  <c r="L233" i="2"/>
  <c r="L234" i="2" s="1"/>
  <c r="L266" i="2"/>
  <c r="L267" i="2" s="1"/>
  <c r="L170" i="2" l="1"/>
  <c r="L276" i="2"/>
  <c r="L277" i="2" s="1"/>
</calcChain>
</file>

<file path=xl/sharedStrings.xml><?xml version="1.0" encoding="utf-8"?>
<sst xmlns="http://schemas.openxmlformats.org/spreadsheetml/2006/main" count="853" uniqueCount="245">
  <si>
    <t>D1</t>
  </si>
  <si>
    <t>C1</t>
  </si>
  <si>
    <t>B3</t>
  </si>
  <si>
    <t>B1</t>
  </si>
  <si>
    <t>A1</t>
  </si>
  <si>
    <t>18/36</t>
  </si>
  <si>
    <t>36/36</t>
  </si>
  <si>
    <t>24/36</t>
  </si>
  <si>
    <t>Orario sett.</t>
  </si>
  <si>
    <t>% presenza</t>
  </si>
  <si>
    <t>Posiz.ec.</t>
  </si>
  <si>
    <t>B4</t>
  </si>
  <si>
    <t>B5</t>
  </si>
  <si>
    <t>B7</t>
  </si>
  <si>
    <t>C4</t>
  </si>
  <si>
    <t>C3</t>
  </si>
  <si>
    <t>C5</t>
  </si>
  <si>
    <t>B6</t>
  </si>
  <si>
    <t>C2</t>
  </si>
  <si>
    <t>A3</t>
  </si>
  <si>
    <t>A4</t>
  </si>
  <si>
    <t>PRODUTTIVITA' 2009 - CASTEL SAN GIOVANNI</t>
  </si>
  <si>
    <t>PARAMETRI</t>
  </si>
  <si>
    <t>Cat./p.e.</t>
  </si>
  <si>
    <t>Stip.tabellare</t>
  </si>
  <si>
    <t>Parametro</t>
  </si>
  <si>
    <t>A2</t>
  </si>
  <si>
    <t>A5</t>
  </si>
  <si>
    <t>B2</t>
  </si>
  <si>
    <t>D2</t>
  </si>
  <si>
    <t>D3</t>
  </si>
  <si>
    <t>D4</t>
  </si>
  <si>
    <t>D5</t>
  </si>
  <si>
    <t>D6</t>
  </si>
  <si>
    <t>Param.indiv.</t>
  </si>
  <si>
    <t>Param.rapportato</t>
  </si>
  <si>
    <t>a %presenza</t>
  </si>
  <si>
    <t>Budget di</t>
  </si>
  <si>
    <t>nucleo</t>
  </si>
  <si>
    <t>Punteggio</t>
  </si>
  <si>
    <t>individuale</t>
  </si>
  <si>
    <t>IMPORTO DA</t>
  </si>
  <si>
    <t>LIQUIDARE</t>
  </si>
  <si>
    <t>32/36</t>
  </si>
  <si>
    <t>serv.gen</t>
  </si>
  <si>
    <t>MATRIC.</t>
  </si>
  <si>
    <t>2/0083</t>
  </si>
  <si>
    <t>2/0039</t>
  </si>
  <si>
    <t>2/0129</t>
  </si>
  <si>
    <t>2/0059</t>
  </si>
  <si>
    <t>2/0084</t>
  </si>
  <si>
    <t>2/0025</t>
  </si>
  <si>
    <t>2/0099</t>
  </si>
  <si>
    <t>2/0027</t>
  </si>
  <si>
    <t>2/0102</t>
  </si>
  <si>
    <t>2/0113</t>
  </si>
  <si>
    <t>2/0048</t>
  </si>
  <si>
    <t>2/0078</t>
  </si>
  <si>
    <t>2/0082</t>
  </si>
  <si>
    <t>2/0098</t>
  </si>
  <si>
    <t>2/0108</t>
  </si>
  <si>
    <t>2/0124</t>
  </si>
  <si>
    <t>2/0037</t>
  </si>
  <si>
    <t>2/0128</t>
  </si>
  <si>
    <t>2/0114</t>
  </si>
  <si>
    <t>2/0038</t>
  </si>
  <si>
    <t>2/0089</t>
  </si>
  <si>
    <t>2/0151</t>
  </si>
  <si>
    <t>2/0138</t>
  </si>
  <si>
    <t>2/0046</t>
  </si>
  <si>
    <t>2/0047</t>
  </si>
  <si>
    <t>2/0051</t>
  </si>
  <si>
    <t>2/0145</t>
  </si>
  <si>
    <t>2/0154</t>
  </si>
  <si>
    <t>2/0057</t>
  </si>
  <si>
    <t>2/0080</t>
  </si>
  <si>
    <t>2/0226</t>
  </si>
  <si>
    <t>2/0107</t>
  </si>
  <si>
    <t>2/0092</t>
  </si>
  <si>
    <t>2/0112</t>
  </si>
  <si>
    <t>2/1002</t>
  </si>
  <si>
    <t>2/0094</t>
  </si>
  <si>
    <t>2/0182</t>
  </si>
  <si>
    <t>2/0169</t>
  </si>
  <si>
    <t>2/0207</t>
  </si>
  <si>
    <t>2/0122</t>
  </si>
  <si>
    <t>2/0131</t>
  </si>
  <si>
    <t>2/0086</t>
  </si>
  <si>
    <t>2/0004</t>
  </si>
  <si>
    <t>2/0008</t>
  </si>
  <si>
    <t>2/0012</t>
  </si>
  <si>
    <t>2/0062</t>
  </si>
  <si>
    <t>2/0081</t>
  </si>
  <si>
    <t>2/0019</t>
  </si>
  <si>
    <t>2/0054</t>
  </si>
  <si>
    <t>2/0064</t>
  </si>
  <si>
    <t>2/0045</t>
  </si>
  <si>
    <t>2/0060</t>
  </si>
  <si>
    <t>2/0163</t>
  </si>
  <si>
    <t>valutazione</t>
  </si>
  <si>
    <t>presenza</t>
  </si>
  <si>
    <t>totale</t>
  </si>
  <si>
    <t>CSRD</t>
  </si>
  <si>
    <t>COM. ALL. GIARD.</t>
  </si>
  <si>
    <t>SERV. SUPP.</t>
  </si>
  <si>
    <t>HOSPICE</t>
  </si>
  <si>
    <t>PERS. SANIT.</t>
  </si>
  <si>
    <t>TUT. MINORI</t>
  </si>
  <si>
    <t>VENERE</t>
  </si>
  <si>
    <t>NUCLEI</t>
  </si>
  <si>
    <t>CSRR</t>
  </si>
  <si>
    <t>SAD</t>
  </si>
  <si>
    <t>SIRIO</t>
  </si>
  <si>
    <t>AMMIN</t>
  </si>
  <si>
    <t>COM. ALL. GIARDINO</t>
  </si>
  <si>
    <t>2/1108</t>
  </si>
  <si>
    <t>2/1099</t>
  </si>
  <si>
    <t>2/1100</t>
  </si>
  <si>
    <t>2/1096</t>
  </si>
  <si>
    <t>2/1074</t>
  </si>
  <si>
    <t>2/1092</t>
  </si>
  <si>
    <t xml:space="preserve">Punteggio </t>
  </si>
  <si>
    <t>presenze</t>
  </si>
  <si>
    <t>2/1087</t>
  </si>
  <si>
    <t>2/1075</t>
  </si>
  <si>
    <t>2/1136</t>
  </si>
  <si>
    <t>2/1070</t>
  </si>
  <si>
    <t>2/1069</t>
  </si>
  <si>
    <t>2/1040</t>
  </si>
  <si>
    <t>2/1103</t>
  </si>
  <si>
    <t>2/1078</t>
  </si>
  <si>
    <t>2/0184</t>
  </si>
  <si>
    <t>2/1090</t>
  </si>
  <si>
    <t>2/1068</t>
  </si>
  <si>
    <t>2/1039</t>
  </si>
  <si>
    <t>2/1088</t>
  </si>
  <si>
    <t>2/0183</t>
  </si>
  <si>
    <t>2/1094</t>
  </si>
  <si>
    <t>2/1055</t>
  </si>
  <si>
    <t>2/1054</t>
  </si>
  <si>
    <t>2/1044</t>
  </si>
  <si>
    <t>2/1098</t>
  </si>
  <si>
    <t>2/1081</t>
  </si>
  <si>
    <t>2/1066</t>
  </si>
  <si>
    <t>2/1106</t>
  </si>
  <si>
    <t>2/1086</t>
  </si>
  <si>
    <t>2/0123</t>
  </si>
  <si>
    <t>2/0175</t>
  </si>
  <si>
    <t>2/1095</t>
  </si>
  <si>
    <t>2/1097</t>
  </si>
  <si>
    <t>2/0187</t>
  </si>
  <si>
    <t>2/1063</t>
  </si>
  <si>
    <t>2/1053</t>
  </si>
  <si>
    <t>2/1147</t>
  </si>
  <si>
    <t>2/0194</t>
  </si>
  <si>
    <t>2/1064</t>
  </si>
  <si>
    <t>2/1060</t>
  </si>
  <si>
    <t>2/0179</t>
  </si>
  <si>
    <t>2/0161</t>
  </si>
  <si>
    <t>2/0162</t>
  </si>
  <si>
    <t>25/36</t>
  </si>
  <si>
    <t>2/0055</t>
  </si>
  <si>
    <t>2/0245</t>
  </si>
  <si>
    <t>2/1083</t>
  </si>
  <si>
    <t>2/0121</t>
  </si>
  <si>
    <t>2/1056</t>
  </si>
  <si>
    <t>2/0242</t>
  </si>
  <si>
    <t>2/0241</t>
  </si>
  <si>
    <t>2/0246</t>
  </si>
  <si>
    <t>SET</t>
  </si>
  <si>
    <t>2/0248</t>
  </si>
  <si>
    <t>2/0018</t>
  </si>
  <si>
    <t>8/36</t>
  </si>
  <si>
    <t>TUTELA MINORI</t>
  </si>
  <si>
    <t>2/0143</t>
  </si>
  <si>
    <t>2/0260</t>
  </si>
  <si>
    <t>2/0276</t>
  </si>
  <si>
    <t>2/0263</t>
  </si>
  <si>
    <t>2/0271</t>
  </si>
  <si>
    <t>2/0268</t>
  </si>
  <si>
    <t>2/0269</t>
  </si>
  <si>
    <t>2/0270</t>
  </si>
  <si>
    <t>2/0262</t>
  </si>
  <si>
    <t>2/0274</t>
  </si>
  <si>
    <t>2/0272</t>
  </si>
  <si>
    <t>2/0164</t>
  </si>
  <si>
    <t>2/0259</t>
  </si>
  <si>
    <t>2/0001</t>
  </si>
  <si>
    <t>26/36</t>
  </si>
  <si>
    <t>2/0279</t>
  </si>
  <si>
    <t>2/0285</t>
  </si>
  <si>
    <t>2/0280</t>
  </si>
  <si>
    <t>2/0295</t>
  </si>
  <si>
    <t>PROG. POVERTA'</t>
  </si>
  <si>
    <t>2/0189</t>
  </si>
  <si>
    <t>2/0292</t>
  </si>
  <si>
    <t>2/0283</t>
  </si>
  <si>
    <t>2/0296</t>
  </si>
  <si>
    <t>2/0293</t>
  </si>
  <si>
    <t>2/0289</t>
  </si>
  <si>
    <t>2/0290</t>
  </si>
  <si>
    <t>2/0291</t>
  </si>
  <si>
    <t>2/0166</t>
  </si>
  <si>
    <t>2/0336</t>
  </si>
  <si>
    <t>2/0315</t>
  </si>
  <si>
    <t>2/0323</t>
  </si>
  <si>
    <t>2/0321</t>
  </si>
  <si>
    <t>2/0316</t>
  </si>
  <si>
    <t>HOSPICE/CAMELOT</t>
  </si>
  <si>
    <t>2/1019</t>
  </si>
  <si>
    <t>2/1012</t>
  </si>
  <si>
    <t>2/0318</t>
  </si>
  <si>
    <t>2/0308</t>
  </si>
  <si>
    <t>2/0298</t>
  </si>
  <si>
    <t>2/0300</t>
  </si>
  <si>
    <t>2/0324</t>
  </si>
  <si>
    <t>2/0301</t>
  </si>
  <si>
    <t>2/0320</t>
  </si>
  <si>
    <t>2/0303</t>
  </si>
  <si>
    <t>2/0330</t>
  </si>
  <si>
    <t>2/0309</t>
  </si>
  <si>
    <t>2/0322</t>
  </si>
  <si>
    <t>2/0302</t>
  </si>
  <si>
    <t>2/0325</t>
  </si>
  <si>
    <t>2/0304</t>
  </si>
  <si>
    <t>33/36</t>
  </si>
  <si>
    <t>2/0319</t>
  </si>
  <si>
    <t>2/0307</t>
  </si>
  <si>
    <t>2/0299</t>
  </si>
  <si>
    <t>2/0312</t>
  </si>
  <si>
    <t>2/0314</t>
  </si>
  <si>
    <t>2/0311</t>
  </si>
  <si>
    <t>2/1052</t>
  </si>
  <si>
    <t>2/0208</t>
  </si>
  <si>
    <t>2/0212</t>
  </si>
  <si>
    <t>2/0313</t>
  </si>
  <si>
    <t>2/0333</t>
  </si>
  <si>
    <t>2/0331</t>
  </si>
  <si>
    <t>34,5/36</t>
  </si>
  <si>
    <t>2/0317</t>
  </si>
  <si>
    <t>2/0237</t>
  </si>
  <si>
    <t>ASP AZALEA</t>
  </si>
  <si>
    <t>Castel San Giovanni (PC)</t>
  </si>
  <si>
    <t>Pubblicazione ai sensi dell' art. 20, c.2 d.lgs. N. 33/2013</t>
  </si>
  <si>
    <t>AMMONTARE DEI PREMI EFFETTIVAMENTE DISTRIBUITI - Produttività anno 2021 - liquidata nel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</si>
</sst>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" fontId="3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2" fillId="4" borderId="0" xfId="0" applyNumberFormat="1" applyFont="1" applyFill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3" fillId="4" borderId="0" xfId="0" applyNumberFormat="1" applyFont="1" applyFill="1" applyAlignment="1">
      <alignment horizontal="center"/>
    </xf>
    <xf numFmtId="4" fontId="0" fillId="4" borderId="0" xfId="0" applyNumberFormat="1" applyFill="1" applyAlignment="1">
      <alignment horizontal="center"/>
    </xf>
    <xf numFmtId="4" fontId="3" fillId="5" borderId="2" xfId="0" applyNumberFormat="1" applyFont="1" applyFill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3" fillId="3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" fontId="4" fillId="4" borderId="0" xfId="0" applyNumberFormat="1" applyFont="1" applyFill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4" fontId="1" fillId="6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" fontId="0" fillId="4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rv00\asp\PERSONALE\Contrattazione%20decentrata\Contratto%20decentrato%202021\Utilizzo%20Fondo%202021%20ASP.xlsx" TargetMode="External"/><Relationship Id="rId1" Type="http://schemas.openxmlformats.org/officeDocument/2006/relationships/externalLinkPath" Target="file:///\\srv00\asp\PERSONALE\Contrattazione%20decentrata\Contratto%20decentrato%202021\Utilizzo%20Fondo%202021%20A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tilizzo fondo 2021"/>
      <sheetName val="Conto"/>
      <sheetName val="Riassunto"/>
      <sheetName val="indennità Ranstad"/>
    </sheetNames>
    <sheetDataSet>
      <sheetData sheetId="0">
        <row r="45">
          <cell r="N45">
            <v>70884.249228150118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93"/>
  <sheetViews>
    <sheetView tabSelected="1" topLeftCell="C1" zoomScale="90" zoomScaleNormal="90" workbookViewId="0">
      <selection activeCell="R14" sqref="R14"/>
    </sheetView>
  </sheetViews>
  <sheetFormatPr defaultRowHeight="15" x14ac:dyDescent="0.25"/>
  <cols>
    <col min="1" max="1" width="6" style="4" customWidth="1"/>
    <col min="2" max="2" width="9.140625" style="4" customWidth="1"/>
    <col min="3" max="3" width="16.7109375" style="4" customWidth="1"/>
    <col min="4" max="4" width="16.28515625" style="6" customWidth="1"/>
    <col min="5" max="6" width="16.7109375" style="6" customWidth="1"/>
    <col min="7" max="7" width="18.85546875" style="6" customWidth="1"/>
    <col min="8" max="8" width="24.28515625" style="6" customWidth="1"/>
    <col min="9" max="11" width="16.7109375" style="34" customWidth="1"/>
    <col min="12" max="12" width="17.85546875" style="18" customWidth="1"/>
    <col min="17" max="17" width="12.85546875" customWidth="1"/>
  </cols>
  <sheetData>
    <row r="2" spans="1:12" ht="15.75" x14ac:dyDescent="0.25">
      <c r="C2" s="45" t="s">
        <v>241</v>
      </c>
      <c r="D2" s="44"/>
      <c r="E2" s="43"/>
      <c r="F2" s="43"/>
      <c r="G2" s="43"/>
      <c r="H2" s="43"/>
      <c r="I2" s="43"/>
    </row>
    <row r="3" spans="1:12" s="39" customFormat="1" ht="15.75" x14ac:dyDescent="0.25">
      <c r="A3" s="40"/>
      <c r="B3" s="40"/>
      <c r="C3" s="45" t="s">
        <v>242</v>
      </c>
      <c r="D3" s="44"/>
      <c r="E3" s="43"/>
      <c r="F3" s="43"/>
      <c r="G3" s="43"/>
      <c r="H3" s="43"/>
      <c r="I3" s="43"/>
      <c r="J3" s="42"/>
      <c r="K3" s="42"/>
      <c r="L3" s="41"/>
    </row>
    <row r="4" spans="1:12" s="39" customFormat="1" ht="15.75" x14ac:dyDescent="0.25">
      <c r="A4" s="40"/>
      <c r="B4" s="40"/>
      <c r="C4" s="45"/>
      <c r="D4" s="44"/>
      <c r="E4" s="43"/>
      <c r="F4" s="43"/>
      <c r="G4" s="43"/>
      <c r="H4" s="43"/>
      <c r="I4" s="43"/>
      <c r="J4" s="42"/>
      <c r="K4" s="42"/>
      <c r="L4" s="41"/>
    </row>
    <row r="5" spans="1:12" ht="15.75" x14ac:dyDescent="0.25">
      <c r="C5" s="45" t="s">
        <v>244</v>
      </c>
      <c r="D5" s="44"/>
      <c r="E5" s="43"/>
      <c r="F5" s="43"/>
      <c r="G5" s="43"/>
      <c r="H5" s="43"/>
      <c r="I5" s="43"/>
    </row>
    <row r="6" spans="1:12" ht="15.75" x14ac:dyDescent="0.25">
      <c r="C6" s="45"/>
      <c r="D6" s="44"/>
      <c r="E6" s="43"/>
      <c r="F6" s="43"/>
      <c r="G6" s="43"/>
      <c r="H6" s="43"/>
      <c r="I6" s="43"/>
    </row>
    <row r="7" spans="1:12" s="1" customFormat="1" ht="15.75" x14ac:dyDescent="0.25">
      <c r="A7" s="5"/>
      <c r="B7" s="5"/>
      <c r="C7" s="46" t="s">
        <v>243</v>
      </c>
      <c r="D7" s="44"/>
      <c r="E7" s="43"/>
      <c r="F7" s="43"/>
      <c r="G7" s="43"/>
      <c r="H7" s="43"/>
      <c r="I7" s="43"/>
      <c r="J7" s="23"/>
      <c r="K7" s="23"/>
      <c r="L7" s="14"/>
    </row>
    <row r="8" spans="1:12" s="1" customFormat="1" ht="15.75" x14ac:dyDescent="0.25">
      <c r="A8" s="5"/>
      <c r="B8" s="8"/>
      <c r="C8" s="5"/>
      <c r="D8" s="7"/>
      <c r="E8" s="7"/>
      <c r="F8" s="7"/>
      <c r="G8" s="7"/>
      <c r="H8" s="7"/>
      <c r="I8" s="23"/>
      <c r="J8" s="23"/>
      <c r="K8" s="23"/>
      <c r="L8" s="14"/>
    </row>
    <row r="9" spans="1:12" s="1" customFormat="1" ht="15.75" x14ac:dyDescent="0.25">
      <c r="A9" s="5"/>
      <c r="B9" s="5"/>
      <c r="C9" s="5"/>
      <c r="D9" s="7"/>
      <c r="E9" s="7"/>
      <c r="F9" s="7"/>
      <c r="G9" s="10" t="s">
        <v>35</v>
      </c>
      <c r="H9" s="10" t="s">
        <v>37</v>
      </c>
      <c r="I9" s="29" t="s">
        <v>39</v>
      </c>
      <c r="J9" s="29" t="s">
        <v>39</v>
      </c>
      <c r="K9" s="29" t="s">
        <v>39</v>
      </c>
      <c r="L9" s="35" t="s">
        <v>41</v>
      </c>
    </row>
    <row r="10" spans="1:12" s="12" customFormat="1" ht="15.75" x14ac:dyDescent="0.25">
      <c r="A10" s="11"/>
      <c r="B10" s="11" t="s">
        <v>45</v>
      </c>
      <c r="C10" s="2" t="s">
        <v>8</v>
      </c>
      <c r="D10" s="3" t="s">
        <v>9</v>
      </c>
      <c r="E10" s="3" t="s">
        <v>10</v>
      </c>
      <c r="F10" s="3" t="s">
        <v>34</v>
      </c>
      <c r="G10" s="3" t="s">
        <v>36</v>
      </c>
      <c r="H10" s="3" t="s">
        <v>38</v>
      </c>
      <c r="I10" s="30" t="s">
        <v>99</v>
      </c>
      <c r="J10" s="30" t="s">
        <v>100</v>
      </c>
      <c r="K10" s="30" t="s">
        <v>101</v>
      </c>
      <c r="L10" s="36" t="s">
        <v>42</v>
      </c>
    </row>
    <row r="11" spans="1:12" s="1" customFormat="1" ht="15.75" x14ac:dyDescent="0.25">
      <c r="A11" s="5">
        <v>1</v>
      </c>
      <c r="B11" s="5" t="s">
        <v>187</v>
      </c>
      <c r="C11" s="5" t="s">
        <v>6</v>
      </c>
      <c r="D11" s="7">
        <v>100</v>
      </c>
      <c r="E11" s="7" t="s">
        <v>2</v>
      </c>
      <c r="F11" s="7">
        <v>112</v>
      </c>
      <c r="G11" s="7">
        <f t="shared" ref="G11:G74" si="0">F11*D11/100</f>
        <v>112</v>
      </c>
      <c r="H11" s="7" t="s">
        <v>28</v>
      </c>
      <c r="I11" s="23">
        <f>90*50/90</f>
        <v>50</v>
      </c>
      <c r="J11" s="23">
        <v>50</v>
      </c>
      <c r="K11" s="23">
        <f>SUM(I11:J11)</f>
        <v>100</v>
      </c>
      <c r="L11" s="14">
        <f>($H$106/$G$106*G11)/100*K11</f>
        <v>613.85036550590439</v>
      </c>
    </row>
    <row r="12" spans="1:12" s="1" customFormat="1" ht="15.75" x14ac:dyDescent="0.25">
      <c r="A12" s="5">
        <v>2</v>
      </c>
      <c r="B12" s="5" t="s">
        <v>95</v>
      </c>
      <c r="C12" s="5" t="s">
        <v>6</v>
      </c>
      <c r="D12" s="7">
        <v>100</v>
      </c>
      <c r="E12" s="5" t="s">
        <v>11</v>
      </c>
      <c r="F12" s="7">
        <v>113</v>
      </c>
      <c r="G12" s="7">
        <f t="shared" si="0"/>
        <v>113</v>
      </c>
      <c r="H12" s="7" t="s">
        <v>26</v>
      </c>
      <c r="I12" s="23">
        <f>90*50/90</f>
        <v>50</v>
      </c>
      <c r="J12" s="23">
        <v>50</v>
      </c>
      <c r="K12" s="23">
        <f>SUM(I12:J12)</f>
        <v>100</v>
      </c>
      <c r="L12" s="14">
        <f>($H$106/$G$106*G12)/100*K12</f>
        <v>619.33117234077849</v>
      </c>
    </row>
    <row r="13" spans="1:12" s="1" customFormat="1" ht="15.75" x14ac:dyDescent="0.25">
      <c r="A13" s="5">
        <v>3</v>
      </c>
      <c r="B13" s="5" t="s">
        <v>115</v>
      </c>
      <c r="C13" s="5" t="s">
        <v>6</v>
      </c>
      <c r="D13" s="7">
        <v>100</v>
      </c>
      <c r="E13" s="5" t="s">
        <v>2</v>
      </c>
      <c r="F13" s="7">
        <v>112</v>
      </c>
      <c r="G13" s="7">
        <f t="shared" si="0"/>
        <v>112</v>
      </c>
      <c r="H13" s="7" t="s">
        <v>102</v>
      </c>
      <c r="I13" s="23">
        <f>88*50/100</f>
        <v>44</v>
      </c>
      <c r="J13" s="23">
        <v>25</v>
      </c>
      <c r="K13" s="23">
        <f>SUM(I13:J13)</f>
        <v>69</v>
      </c>
      <c r="L13" s="14">
        <f>($H$106/$G$106*G13)/100*K13</f>
        <v>423.55675219907403</v>
      </c>
    </row>
    <row r="14" spans="1:12" s="1" customFormat="1" ht="15.75" x14ac:dyDescent="0.25">
      <c r="A14" s="5">
        <v>4</v>
      </c>
      <c r="B14" s="5" t="s">
        <v>204</v>
      </c>
      <c r="C14" s="5" t="s">
        <v>7</v>
      </c>
      <c r="D14" s="7">
        <v>50</v>
      </c>
      <c r="E14" s="5" t="s">
        <v>2</v>
      </c>
      <c r="F14" s="7">
        <v>112</v>
      </c>
      <c r="G14" s="7">
        <f t="shared" si="0"/>
        <v>56</v>
      </c>
      <c r="H14" s="7" t="s">
        <v>111</v>
      </c>
      <c r="I14" s="23">
        <f>37*50/90</f>
        <v>20.555555555555557</v>
      </c>
      <c r="J14" s="23">
        <v>50</v>
      </c>
      <c r="K14" s="23">
        <f>SUM(I14:J14)</f>
        <v>70.555555555555557</v>
      </c>
      <c r="L14" s="14">
        <f>($H$106/$G$106*G14)/100*K14</f>
        <v>216.55276783124958</v>
      </c>
    </row>
    <row r="15" spans="1:12" s="1" customFormat="1" ht="15.75" x14ac:dyDescent="0.25">
      <c r="A15" s="5">
        <v>5</v>
      </c>
      <c r="B15" s="5" t="s">
        <v>233</v>
      </c>
      <c r="C15" s="5" t="s">
        <v>6</v>
      </c>
      <c r="D15" s="7">
        <v>15.41</v>
      </c>
      <c r="E15" s="5" t="s">
        <v>2</v>
      </c>
      <c r="F15" s="7">
        <v>112</v>
      </c>
      <c r="G15" s="7">
        <f t="shared" si="0"/>
        <v>17.2592</v>
      </c>
      <c r="H15" s="7" t="s">
        <v>4</v>
      </c>
      <c r="I15" s="23">
        <f>84*50/90</f>
        <v>46.666666666666664</v>
      </c>
      <c r="J15" s="23">
        <v>50</v>
      </c>
      <c r="K15" s="23">
        <f>SUM(I15:J15)</f>
        <v>96.666666666666657</v>
      </c>
      <c r="L15" s="14">
        <f>($H$106/$G$106*G15)/100*K15</f>
        <v>91.441196613644522</v>
      </c>
    </row>
    <row r="16" spans="1:12" s="1" customFormat="1" ht="16.5" customHeight="1" x14ac:dyDescent="0.25">
      <c r="A16" s="5">
        <v>6</v>
      </c>
      <c r="B16" s="5" t="s">
        <v>175</v>
      </c>
      <c r="C16" s="5" t="s">
        <v>6</v>
      </c>
      <c r="D16" s="7">
        <v>100</v>
      </c>
      <c r="E16" s="5" t="s">
        <v>2</v>
      </c>
      <c r="F16" s="7">
        <v>112</v>
      </c>
      <c r="G16" s="7">
        <f t="shared" si="0"/>
        <v>112</v>
      </c>
      <c r="H16" s="7" t="s">
        <v>103</v>
      </c>
      <c r="I16" s="23">
        <f>86*50/100</f>
        <v>43</v>
      </c>
      <c r="J16" s="23">
        <v>50</v>
      </c>
      <c r="K16" s="23">
        <f t="shared" ref="K16:K75" si="1">SUM(I16:J16)</f>
        <v>93</v>
      </c>
      <c r="L16" s="14">
        <f>($H$106/$G$106*G16)/100*K16</f>
        <v>570.8808399204911</v>
      </c>
    </row>
    <row r="17" spans="1:12" s="1" customFormat="1" ht="16.5" customHeight="1" x14ac:dyDescent="0.25">
      <c r="A17" s="5">
        <v>7</v>
      </c>
      <c r="B17" s="5" t="s">
        <v>205</v>
      </c>
      <c r="C17" s="5" t="s">
        <v>6</v>
      </c>
      <c r="D17" s="7">
        <v>25</v>
      </c>
      <c r="E17" s="5" t="s">
        <v>2</v>
      </c>
      <c r="F17" s="7">
        <v>112</v>
      </c>
      <c r="G17" s="7">
        <f t="shared" si="0"/>
        <v>28</v>
      </c>
      <c r="H17" s="7" t="s">
        <v>28</v>
      </c>
      <c r="I17" s="23">
        <f>83*50/90</f>
        <v>46.111111111111114</v>
      </c>
      <c r="J17" s="23">
        <v>50</v>
      </c>
      <c r="K17" s="23">
        <f t="shared" si="1"/>
        <v>96.111111111111114</v>
      </c>
      <c r="L17" s="14">
        <f>($H$106/$G$106*G17)/100*K17</f>
        <v>147.49460171183534</v>
      </c>
    </row>
    <row r="18" spans="1:12" s="1" customFormat="1" ht="15.75" x14ac:dyDescent="0.25">
      <c r="A18" s="5">
        <v>8</v>
      </c>
      <c r="B18" s="5" t="s">
        <v>57</v>
      </c>
      <c r="C18" s="5" t="s">
        <v>7</v>
      </c>
      <c r="D18" s="7">
        <v>61.11</v>
      </c>
      <c r="E18" s="7" t="s">
        <v>2</v>
      </c>
      <c r="F18" s="7">
        <v>112</v>
      </c>
      <c r="G18" s="7">
        <f t="shared" si="0"/>
        <v>68.44319999999999</v>
      </c>
      <c r="H18" s="7" t="s">
        <v>103</v>
      </c>
      <c r="I18" s="23">
        <f>91*50/100</f>
        <v>45.5</v>
      </c>
      <c r="J18" s="23">
        <v>25</v>
      </c>
      <c r="K18" s="23">
        <f t="shared" si="1"/>
        <v>70.5</v>
      </c>
      <c r="L18" s="14">
        <f>($H$106/$G$106*G18)/100*K18</f>
        <v>264.46239064426396</v>
      </c>
    </row>
    <row r="19" spans="1:12" s="1" customFormat="1" ht="15.75" x14ac:dyDescent="0.25">
      <c r="A19" s="5">
        <v>9</v>
      </c>
      <c r="B19" s="5" t="s">
        <v>116</v>
      </c>
      <c r="C19" s="5" t="s">
        <v>6</v>
      </c>
      <c r="D19" s="7">
        <v>100</v>
      </c>
      <c r="E19" s="7" t="s">
        <v>2</v>
      </c>
      <c r="F19" s="7">
        <v>112</v>
      </c>
      <c r="G19" s="7">
        <f t="shared" si="0"/>
        <v>112</v>
      </c>
      <c r="H19" s="7" t="s">
        <v>28</v>
      </c>
      <c r="I19" s="23">
        <f>75*50/100</f>
        <v>37.5</v>
      </c>
      <c r="J19" s="23">
        <v>50</v>
      </c>
      <c r="K19" s="23">
        <f t="shared" si="1"/>
        <v>87.5</v>
      </c>
      <c r="L19" s="14">
        <f>($H$106/$G$106*G19)/100*K19</f>
        <v>537.11906981766629</v>
      </c>
    </row>
    <row r="20" spans="1:12" s="1" customFormat="1" ht="15.75" x14ac:dyDescent="0.25">
      <c r="A20" s="5">
        <v>10</v>
      </c>
      <c r="B20" s="5" t="s">
        <v>65</v>
      </c>
      <c r="C20" s="5" t="s">
        <v>7</v>
      </c>
      <c r="D20" s="7">
        <f>24/36*100</f>
        <v>66.666666666666657</v>
      </c>
      <c r="E20" s="7" t="s">
        <v>11</v>
      </c>
      <c r="F20" s="7">
        <v>113</v>
      </c>
      <c r="G20" s="7">
        <f t="shared" si="0"/>
        <v>75.333333333333314</v>
      </c>
      <c r="H20" s="7" t="s">
        <v>104</v>
      </c>
      <c r="I20" s="23">
        <f>90*50/90</f>
        <v>50</v>
      </c>
      <c r="J20" s="23">
        <v>0</v>
      </c>
      <c r="K20" s="23">
        <f t="shared" si="1"/>
        <v>50</v>
      </c>
      <c r="L20" s="14">
        <f>($H$106/$G$106*G20)/100*K20</f>
        <v>206.44372411359279</v>
      </c>
    </row>
    <row r="21" spans="1:12" s="1" customFormat="1" ht="15.75" x14ac:dyDescent="0.25">
      <c r="A21" s="5">
        <v>11</v>
      </c>
      <c r="B21" s="5" t="s">
        <v>235</v>
      </c>
      <c r="C21" s="5" t="s">
        <v>6</v>
      </c>
      <c r="D21" s="7">
        <v>38</v>
      </c>
      <c r="E21" s="7" t="s">
        <v>2</v>
      </c>
      <c r="F21" s="7">
        <v>112</v>
      </c>
      <c r="G21" s="7">
        <f t="shared" si="0"/>
        <v>42.56</v>
      </c>
      <c r="H21" s="7" t="s">
        <v>4</v>
      </c>
      <c r="I21" s="23">
        <f>76*50/90</f>
        <v>42.222222222222221</v>
      </c>
      <c r="J21" s="23">
        <v>50</v>
      </c>
      <c r="K21" s="23">
        <f t="shared" si="1"/>
        <v>92.222222222222229</v>
      </c>
      <c r="L21" s="14">
        <f>($H$106/$G$106*G21)/100*K21</f>
        <v>215.12045031173582</v>
      </c>
    </row>
    <row r="22" spans="1:12" s="1" customFormat="1" ht="15.75" x14ac:dyDescent="0.25">
      <c r="A22" s="5">
        <v>12</v>
      </c>
      <c r="B22" s="5" t="s">
        <v>58</v>
      </c>
      <c r="C22" s="5" t="s">
        <v>6</v>
      </c>
      <c r="D22" s="7">
        <v>100</v>
      </c>
      <c r="E22" s="7" t="s">
        <v>2</v>
      </c>
      <c r="F22" s="7">
        <v>112</v>
      </c>
      <c r="G22" s="7">
        <f t="shared" si="0"/>
        <v>112</v>
      </c>
      <c r="H22" s="7" t="s">
        <v>4</v>
      </c>
      <c r="I22" s="23">
        <f>89*50/90</f>
        <v>49.444444444444443</v>
      </c>
      <c r="J22" s="23">
        <v>50</v>
      </c>
      <c r="K22" s="23">
        <f t="shared" si="1"/>
        <v>99.444444444444443</v>
      </c>
      <c r="L22" s="14">
        <f>($H$106/$G$106*G22)/100*K22</f>
        <v>610.44008569753817</v>
      </c>
    </row>
    <row r="23" spans="1:12" s="1" customFormat="1" ht="15.75" x14ac:dyDescent="0.25">
      <c r="A23" s="5">
        <v>13</v>
      </c>
      <c r="B23" s="5" t="s">
        <v>117</v>
      </c>
      <c r="C23" s="5" t="s">
        <v>6</v>
      </c>
      <c r="D23" s="7">
        <v>100</v>
      </c>
      <c r="E23" s="7" t="s">
        <v>2</v>
      </c>
      <c r="F23" s="7">
        <v>112</v>
      </c>
      <c r="G23" s="7">
        <f t="shared" si="0"/>
        <v>112</v>
      </c>
      <c r="H23" s="7" t="s">
        <v>26</v>
      </c>
      <c r="I23" s="23">
        <f>90*50/90</f>
        <v>50</v>
      </c>
      <c r="J23" s="23">
        <v>15</v>
      </c>
      <c r="K23" s="23">
        <f t="shared" si="1"/>
        <v>65</v>
      </c>
      <c r="L23" s="14">
        <f>($H$106/$G$106*G23)/100*K23</f>
        <v>399.00273757883781</v>
      </c>
    </row>
    <row r="24" spans="1:12" s="1" customFormat="1" ht="15.75" x14ac:dyDescent="0.25">
      <c r="A24" s="5">
        <v>14</v>
      </c>
      <c r="B24" s="5" t="s">
        <v>46</v>
      </c>
      <c r="C24" s="5" t="s">
        <v>6</v>
      </c>
      <c r="D24" s="7">
        <v>100</v>
      </c>
      <c r="E24" s="7" t="s">
        <v>2</v>
      </c>
      <c r="F24" s="7">
        <v>112</v>
      </c>
      <c r="G24" s="7">
        <f t="shared" si="0"/>
        <v>112</v>
      </c>
      <c r="H24" s="7" t="s">
        <v>3</v>
      </c>
      <c r="I24" s="23">
        <f>85*50/90</f>
        <v>47.222222222222221</v>
      </c>
      <c r="J24" s="23">
        <v>15</v>
      </c>
      <c r="K24" s="23">
        <f t="shared" si="1"/>
        <v>62.222222222222221</v>
      </c>
      <c r="L24" s="14">
        <f>($H$106/$G$106*G24)/100*K24</f>
        <v>381.95133853700713</v>
      </c>
    </row>
    <row r="25" spans="1:12" s="1" customFormat="1" ht="15.75" x14ac:dyDescent="0.25">
      <c r="A25" s="5">
        <v>15</v>
      </c>
      <c r="B25" s="5" t="s">
        <v>50</v>
      </c>
      <c r="C25" s="5" t="s">
        <v>6</v>
      </c>
      <c r="D25" s="7">
        <v>100</v>
      </c>
      <c r="E25" s="7" t="s">
        <v>2</v>
      </c>
      <c r="F25" s="7">
        <v>112</v>
      </c>
      <c r="G25" s="7">
        <f t="shared" si="0"/>
        <v>112</v>
      </c>
      <c r="H25" s="7" t="s">
        <v>28</v>
      </c>
      <c r="I25" s="23">
        <f>90*50/90</f>
        <v>50</v>
      </c>
      <c r="J25" s="23">
        <v>15</v>
      </c>
      <c r="K25" s="23">
        <f t="shared" si="1"/>
        <v>65</v>
      </c>
      <c r="L25" s="14">
        <f>($H$106/$G$106*G25)/100*K25</f>
        <v>399.00273757883781</v>
      </c>
    </row>
    <row r="26" spans="1:12" s="1" customFormat="1" ht="15.75" x14ac:dyDescent="0.25">
      <c r="A26" s="5">
        <v>16</v>
      </c>
      <c r="B26" s="5" t="s">
        <v>119</v>
      </c>
      <c r="C26" s="5" t="s">
        <v>6</v>
      </c>
      <c r="D26" s="7">
        <v>100</v>
      </c>
      <c r="E26" s="7" t="s">
        <v>2</v>
      </c>
      <c r="F26" s="7">
        <v>112</v>
      </c>
      <c r="G26" s="7">
        <f t="shared" si="0"/>
        <v>112</v>
      </c>
      <c r="H26" s="7" t="s">
        <v>3</v>
      </c>
      <c r="I26" s="23">
        <f>90*50/90</f>
        <v>50</v>
      </c>
      <c r="J26" s="23">
        <v>40</v>
      </c>
      <c r="K26" s="23">
        <f t="shared" si="1"/>
        <v>90</v>
      </c>
      <c r="L26" s="14">
        <f>($H$106/$G$106*G26)/100*K26</f>
        <v>552.46532895531391</v>
      </c>
    </row>
    <row r="27" spans="1:12" s="1" customFormat="1" ht="15.75" x14ac:dyDescent="0.25">
      <c r="A27" s="5">
        <v>17</v>
      </c>
      <c r="B27" s="5" t="s">
        <v>118</v>
      </c>
      <c r="C27" s="5" t="s">
        <v>6</v>
      </c>
      <c r="D27" s="7">
        <v>100</v>
      </c>
      <c r="E27" s="7" t="s">
        <v>2</v>
      </c>
      <c r="F27" s="7">
        <v>112</v>
      </c>
      <c r="G27" s="7">
        <f t="shared" si="0"/>
        <v>112</v>
      </c>
      <c r="H27" s="7" t="s">
        <v>4</v>
      </c>
      <c r="I27" s="23">
        <f>90*50/90</f>
        <v>50</v>
      </c>
      <c r="J27" s="23">
        <v>0</v>
      </c>
      <c r="K27" s="23">
        <f t="shared" si="1"/>
        <v>50</v>
      </c>
      <c r="L27" s="14">
        <f>($H$106/$G$106*G27)/100*K27</f>
        <v>306.9251827529522</v>
      </c>
    </row>
    <row r="28" spans="1:12" s="1" customFormat="1" ht="15.75" x14ac:dyDescent="0.25">
      <c r="A28" s="5">
        <v>18</v>
      </c>
      <c r="B28" s="5" t="s">
        <v>207</v>
      </c>
      <c r="C28" s="5" t="s">
        <v>7</v>
      </c>
      <c r="D28" s="7">
        <v>33.33</v>
      </c>
      <c r="E28" s="7" t="s">
        <v>2</v>
      </c>
      <c r="F28" s="7">
        <v>112</v>
      </c>
      <c r="G28" s="7">
        <f t="shared" si="0"/>
        <v>37.329599999999999</v>
      </c>
      <c r="H28" s="7" t="s">
        <v>111</v>
      </c>
      <c r="I28" s="23">
        <f>53*50/90</f>
        <v>29.444444444444443</v>
      </c>
      <c r="J28" s="23">
        <v>50</v>
      </c>
      <c r="K28" s="23">
        <f t="shared" si="1"/>
        <v>79.444444444444443</v>
      </c>
      <c r="L28" s="14">
        <f>($H$106/$G$106*G28)/100*K28</f>
        <v>162.54041519836588</v>
      </c>
    </row>
    <row r="29" spans="1:12" s="1" customFormat="1" ht="15.75" x14ac:dyDescent="0.25">
      <c r="A29" s="5">
        <v>19</v>
      </c>
      <c r="B29" s="5" t="s">
        <v>120</v>
      </c>
      <c r="C29" s="5" t="s">
        <v>6</v>
      </c>
      <c r="D29" s="7">
        <v>58.33</v>
      </c>
      <c r="E29" s="7" t="s">
        <v>2</v>
      </c>
      <c r="F29" s="7">
        <v>112</v>
      </c>
      <c r="G29" s="7">
        <f t="shared" si="0"/>
        <v>65.329599999999999</v>
      </c>
      <c r="H29" s="7" t="s">
        <v>4</v>
      </c>
      <c r="I29" s="23">
        <f>90*50/90</f>
        <v>50</v>
      </c>
      <c r="J29" s="23">
        <v>25</v>
      </c>
      <c r="K29" s="23">
        <f t="shared" si="1"/>
        <v>75</v>
      </c>
      <c r="L29" s="14">
        <f>($H$106/$G$106*G29)/100*K29</f>
        <v>268.54418864969551</v>
      </c>
    </row>
    <row r="30" spans="1:12" s="1" customFormat="1" ht="15.75" x14ac:dyDescent="0.25">
      <c r="A30" s="5">
        <v>20</v>
      </c>
      <c r="B30" s="5" t="s">
        <v>183</v>
      </c>
      <c r="C30" s="5" t="s">
        <v>43</v>
      </c>
      <c r="D30" s="7">
        <v>88.89</v>
      </c>
      <c r="E30" s="7" t="s">
        <v>2</v>
      </c>
      <c r="F30" s="7">
        <v>112</v>
      </c>
      <c r="G30" s="7">
        <f t="shared" si="0"/>
        <v>99.55680000000001</v>
      </c>
      <c r="H30" s="7" t="s">
        <v>111</v>
      </c>
      <c r="I30" s="23">
        <f>84*50/90</f>
        <v>46.666666666666664</v>
      </c>
      <c r="J30" s="23">
        <v>50</v>
      </c>
      <c r="K30" s="23">
        <f t="shared" si="1"/>
        <v>96.666666666666657</v>
      </c>
      <c r="L30" s="14">
        <f>($H$106/$G$106*G30)/100*K30</f>
        <v>527.46320356825856</v>
      </c>
    </row>
    <row r="31" spans="1:12" s="1" customFormat="1" ht="15.75" x14ac:dyDescent="0.25">
      <c r="A31" s="5">
        <v>21</v>
      </c>
      <c r="B31" s="5" t="s">
        <v>66</v>
      </c>
      <c r="C31" s="5" t="s">
        <v>5</v>
      </c>
      <c r="D31" s="7">
        <v>50</v>
      </c>
      <c r="E31" s="7" t="s">
        <v>11</v>
      </c>
      <c r="F31" s="7">
        <v>113</v>
      </c>
      <c r="G31" s="7">
        <f t="shared" si="0"/>
        <v>56.5</v>
      </c>
      <c r="H31" s="7" t="s">
        <v>102</v>
      </c>
      <c r="I31" s="23">
        <f>89*50/100</f>
        <v>44.5</v>
      </c>
      <c r="J31" s="23">
        <v>50</v>
      </c>
      <c r="K31" s="23">
        <f t="shared" si="1"/>
        <v>94.5</v>
      </c>
      <c r="L31" s="14">
        <f>($H$106/$G$106*G31)/100*K31</f>
        <v>292.63397893101785</v>
      </c>
    </row>
    <row r="32" spans="1:12" s="1" customFormat="1" ht="15.75" x14ac:dyDescent="0.25">
      <c r="A32" s="5">
        <v>22</v>
      </c>
      <c r="B32" s="5" t="s">
        <v>59</v>
      </c>
      <c r="C32" s="5" t="s">
        <v>6</v>
      </c>
      <c r="D32" s="7">
        <v>100</v>
      </c>
      <c r="E32" s="7" t="s">
        <v>11</v>
      </c>
      <c r="F32" s="7">
        <v>113</v>
      </c>
      <c r="G32" s="7">
        <f t="shared" si="0"/>
        <v>113</v>
      </c>
      <c r="H32" s="7" t="s">
        <v>4</v>
      </c>
      <c r="I32" s="23">
        <f>89*50/90</f>
        <v>49.444444444444443</v>
      </c>
      <c r="J32" s="23">
        <v>0</v>
      </c>
      <c r="K32" s="23">
        <f t="shared" si="1"/>
        <v>49.444444444444443</v>
      </c>
      <c r="L32" s="14">
        <f>($H$106/$G$106*G32)/100*K32</f>
        <v>306.22485743516268</v>
      </c>
    </row>
    <row r="33" spans="1:12" s="1" customFormat="1" ht="15.75" x14ac:dyDescent="0.25">
      <c r="A33" s="5">
        <v>23</v>
      </c>
      <c r="B33" s="5" t="s">
        <v>67</v>
      </c>
      <c r="C33" s="5" t="s">
        <v>6</v>
      </c>
      <c r="D33" s="7">
        <v>100</v>
      </c>
      <c r="E33" s="7" t="s">
        <v>11</v>
      </c>
      <c r="F33" s="7">
        <v>113</v>
      </c>
      <c r="G33" s="7">
        <f t="shared" si="0"/>
        <v>113</v>
      </c>
      <c r="H33" s="7" t="s">
        <v>105</v>
      </c>
      <c r="I33" s="23">
        <f>95*50/100</f>
        <v>47.5</v>
      </c>
      <c r="J33" s="23">
        <v>25</v>
      </c>
      <c r="K33" s="23">
        <f t="shared" si="1"/>
        <v>72.5</v>
      </c>
      <c r="L33" s="14">
        <f>($H$106/$G$106*G33)/100*K33</f>
        <v>449.01509994706441</v>
      </c>
    </row>
    <row r="34" spans="1:12" s="1" customFormat="1" ht="15.75" x14ac:dyDescent="0.25">
      <c r="A34" s="5">
        <v>24</v>
      </c>
      <c r="B34" s="5" t="s">
        <v>123</v>
      </c>
      <c r="C34" s="5" t="s">
        <v>6</v>
      </c>
      <c r="D34" s="7">
        <v>100</v>
      </c>
      <c r="E34" s="7" t="s">
        <v>2</v>
      </c>
      <c r="F34" s="7">
        <v>112</v>
      </c>
      <c r="G34" s="7">
        <f t="shared" si="0"/>
        <v>112</v>
      </c>
      <c r="H34" s="7" t="s">
        <v>4</v>
      </c>
      <c r="I34" s="23">
        <f>90*50/90</f>
        <v>50</v>
      </c>
      <c r="J34" s="23">
        <v>50</v>
      </c>
      <c r="K34" s="23">
        <f t="shared" si="1"/>
        <v>100</v>
      </c>
      <c r="L34" s="14">
        <f>($H$106/$G$106*G34)/100*K34</f>
        <v>613.85036550590439</v>
      </c>
    </row>
    <row r="35" spans="1:12" s="1" customFormat="1" ht="15.75" x14ac:dyDescent="0.25">
      <c r="A35" s="5">
        <v>25</v>
      </c>
      <c r="B35" s="5" t="s">
        <v>124</v>
      </c>
      <c r="C35" s="5" t="s">
        <v>6</v>
      </c>
      <c r="D35" s="7">
        <v>100</v>
      </c>
      <c r="E35" s="7" t="s">
        <v>2</v>
      </c>
      <c r="F35" s="7">
        <v>112</v>
      </c>
      <c r="G35" s="7">
        <f t="shared" si="0"/>
        <v>112</v>
      </c>
      <c r="H35" s="7" t="s">
        <v>28</v>
      </c>
      <c r="I35" s="23">
        <f t="shared" ref="I35:I37" si="2">90*50/90</f>
        <v>50</v>
      </c>
      <c r="J35" s="23">
        <v>25</v>
      </c>
      <c r="K35" s="23">
        <f t="shared" si="1"/>
        <v>75</v>
      </c>
      <c r="L35" s="14">
        <f>($H$106/$G$106*G35)/100*K35</f>
        <v>460.38777412942824</v>
      </c>
    </row>
    <row r="36" spans="1:12" s="1" customFormat="1" ht="15.75" x14ac:dyDescent="0.25">
      <c r="A36" s="5">
        <v>26</v>
      </c>
      <c r="B36" s="5" t="s">
        <v>125</v>
      </c>
      <c r="C36" s="5" t="s">
        <v>6</v>
      </c>
      <c r="D36" s="7">
        <v>42</v>
      </c>
      <c r="E36" s="7" t="s">
        <v>2</v>
      </c>
      <c r="F36" s="7">
        <v>112</v>
      </c>
      <c r="G36" s="7">
        <f t="shared" si="0"/>
        <v>47.04</v>
      </c>
      <c r="H36" s="7" t="s">
        <v>26</v>
      </c>
      <c r="I36" s="23">
        <f t="shared" si="2"/>
        <v>50</v>
      </c>
      <c r="J36" s="23">
        <v>5</v>
      </c>
      <c r="K36" s="23">
        <f t="shared" si="1"/>
        <v>55</v>
      </c>
      <c r="L36" s="14">
        <f>($H$106/$G$106*G36)/100*K36</f>
        <v>141.79943443186389</v>
      </c>
    </row>
    <row r="37" spans="1:12" s="1" customFormat="1" ht="15.75" x14ac:dyDescent="0.25">
      <c r="A37" s="5">
        <v>27</v>
      </c>
      <c r="B37" s="5" t="s">
        <v>126</v>
      </c>
      <c r="C37" s="5" t="s">
        <v>6</v>
      </c>
      <c r="D37" s="7">
        <v>100</v>
      </c>
      <c r="E37" s="7" t="s">
        <v>2</v>
      </c>
      <c r="F37" s="7">
        <v>112</v>
      </c>
      <c r="G37" s="7">
        <f t="shared" si="0"/>
        <v>112</v>
      </c>
      <c r="H37" s="7" t="s">
        <v>111</v>
      </c>
      <c r="I37" s="23">
        <f t="shared" si="2"/>
        <v>50</v>
      </c>
      <c r="J37" s="23">
        <v>50</v>
      </c>
      <c r="K37" s="23">
        <f t="shared" si="1"/>
        <v>100</v>
      </c>
      <c r="L37" s="14">
        <f>($H$106/$G$106*G37)/100*K37</f>
        <v>613.85036550590439</v>
      </c>
    </row>
    <row r="38" spans="1:12" s="1" customFormat="1" ht="15.75" x14ac:dyDescent="0.25">
      <c r="A38" s="5">
        <v>28</v>
      </c>
      <c r="B38" s="5" t="s">
        <v>51</v>
      </c>
      <c r="C38" s="5" t="s">
        <v>5</v>
      </c>
      <c r="D38" s="7">
        <f>18/36*100</f>
        <v>50</v>
      </c>
      <c r="E38" s="7" t="s">
        <v>11</v>
      </c>
      <c r="F38" s="7">
        <v>113</v>
      </c>
      <c r="G38" s="7">
        <f t="shared" si="0"/>
        <v>56.5</v>
      </c>
      <c r="H38" s="7" t="s">
        <v>28</v>
      </c>
      <c r="I38" s="23">
        <f>90*50/90</f>
        <v>50</v>
      </c>
      <c r="J38" s="23">
        <v>50</v>
      </c>
      <c r="K38" s="23">
        <f t="shared" si="1"/>
        <v>100</v>
      </c>
      <c r="L38" s="14">
        <f>($H$106/$G$106*G38)/100*K38</f>
        <v>309.66558617038925</v>
      </c>
    </row>
    <row r="39" spans="1:12" s="1" customFormat="1" ht="15.75" x14ac:dyDescent="0.25">
      <c r="A39" s="5">
        <v>29</v>
      </c>
      <c r="B39" s="5" t="s">
        <v>212</v>
      </c>
      <c r="C39" s="5" t="s">
        <v>6</v>
      </c>
      <c r="D39" s="7">
        <v>92</v>
      </c>
      <c r="E39" s="7" t="s">
        <v>2</v>
      </c>
      <c r="F39" s="7">
        <v>112</v>
      </c>
      <c r="G39" s="7">
        <f t="shared" si="0"/>
        <v>103.04</v>
      </c>
      <c r="H39" s="7" t="s">
        <v>28</v>
      </c>
      <c r="I39" s="23">
        <f>90*50/90</f>
        <v>50</v>
      </c>
      <c r="J39" s="23">
        <v>25</v>
      </c>
      <c r="K39" s="23">
        <f t="shared" si="1"/>
        <v>75</v>
      </c>
      <c r="L39" s="14">
        <f>($H$106/$G$106*G39)/100*K39</f>
        <v>423.55675219907403</v>
      </c>
    </row>
    <row r="40" spans="1:12" s="1" customFormat="1" ht="15.75" x14ac:dyDescent="0.25">
      <c r="A40" s="5">
        <v>30</v>
      </c>
      <c r="B40" s="5" t="s">
        <v>53</v>
      </c>
      <c r="C40" s="5" t="s">
        <v>6</v>
      </c>
      <c r="D40" s="7">
        <v>100</v>
      </c>
      <c r="E40" s="7" t="s">
        <v>2</v>
      </c>
      <c r="F40" s="7">
        <v>112</v>
      </c>
      <c r="G40" s="7">
        <f t="shared" si="0"/>
        <v>112</v>
      </c>
      <c r="H40" s="7" t="s">
        <v>3</v>
      </c>
      <c r="I40" s="23">
        <f>90*50/90</f>
        <v>50</v>
      </c>
      <c r="J40" s="23">
        <v>50</v>
      </c>
      <c r="K40" s="23">
        <f t="shared" si="1"/>
        <v>100</v>
      </c>
      <c r="L40" s="14">
        <f>($H$106/$G$106*G40)/100*K40</f>
        <v>613.85036550590439</v>
      </c>
    </row>
    <row r="41" spans="1:12" s="1" customFormat="1" ht="15.75" x14ac:dyDescent="0.25">
      <c r="A41" s="5">
        <v>31</v>
      </c>
      <c r="B41" s="5" t="s">
        <v>128</v>
      </c>
      <c r="C41" s="5" t="s">
        <v>6</v>
      </c>
      <c r="D41" s="7">
        <v>100</v>
      </c>
      <c r="E41" s="7" t="s">
        <v>2</v>
      </c>
      <c r="F41" s="7">
        <v>112</v>
      </c>
      <c r="G41" s="7">
        <f t="shared" si="0"/>
        <v>112</v>
      </c>
      <c r="H41" s="7" t="s">
        <v>110</v>
      </c>
      <c r="I41" s="23">
        <f>96*50/100</f>
        <v>48</v>
      </c>
      <c r="J41" s="23">
        <v>50</v>
      </c>
      <c r="K41" s="23">
        <f t="shared" si="1"/>
        <v>98</v>
      </c>
      <c r="L41" s="14">
        <f>($H$106/$G$106*G41)/100*K41</f>
        <v>601.57335819578623</v>
      </c>
    </row>
    <row r="42" spans="1:12" s="1" customFormat="1" ht="15.75" x14ac:dyDescent="0.25">
      <c r="A42" s="5">
        <v>32</v>
      </c>
      <c r="B42" s="5" t="s">
        <v>182</v>
      </c>
      <c r="C42" s="5" t="s">
        <v>6</v>
      </c>
      <c r="D42" s="7">
        <v>89</v>
      </c>
      <c r="E42" s="7" t="s">
        <v>2</v>
      </c>
      <c r="F42" s="7">
        <v>112</v>
      </c>
      <c r="G42" s="7">
        <f t="shared" si="0"/>
        <v>99.68</v>
      </c>
      <c r="H42" s="7" t="s">
        <v>105</v>
      </c>
      <c r="I42" s="23">
        <f>93*50/100</f>
        <v>46.5</v>
      </c>
      <c r="J42" s="23">
        <v>15</v>
      </c>
      <c r="K42" s="23">
        <f t="shared" si="1"/>
        <v>61.5</v>
      </c>
      <c r="L42" s="14">
        <f>($H$106/$G$106*G42)/100*K42</f>
        <v>335.99099755965676</v>
      </c>
    </row>
    <row r="43" spans="1:12" s="1" customFormat="1" ht="15.75" x14ac:dyDescent="0.25">
      <c r="A43" s="5">
        <v>33</v>
      </c>
      <c r="B43" s="5" t="s">
        <v>54</v>
      </c>
      <c r="C43" s="5" t="s">
        <v>6</v>
      </c>
      <c r="D43" s="7">
        <v>100</v>
      </c>
      <c r="E43" s="7" t="s">
        <v>12</v>
      </c>
      <c r="F43" s="7">
        <v>115</v>
      </c>
      <c r="G43" s="7">
        <f t="shared" si="0"/>
        <v>115</v>
      </c>
      <c r="H43" s="7" t="s">
        <v>3</v>
      </c>
      <c r="I43" s="23">
        <f>90*50/90</f>
        <v>50</v>
      </c>
      <c r="J43" s="23">
        <v>5</v>
      </c>
      <c r="K43" s="23">
        <f t="shared" si="1"/>
        <v>55</v>
      </c>
      <c r="L43" s="14">
        <f>($H$106/$G$106*G43)/100*K43</f>
        <v>346.66103230578977</v>
      </c>
    </row>
    <row r="44" spans="1:12" s="1" customFormat="1" ht="15.75" x14ac:dyDescent="0.25">
      <c r="A44" s="5">
        <v>34</v>
      </c>
      <c r="B44" s="5" t="s">
        <v>68</v>
      </c>
      <c r="C44" s="24" t="s">
        <v>43</v>
      </c>
      <c r="D44" s="7">
        <v>88.89</v>
      </c>
      <c r="E44" s="7" t="s">
        <v>11</v>
      </c>
      <c r="F44" s="7">
        <v>113</v>
      </c>
      <c r="G44" s="7">
        <f t="shared" si="0"/>
        <v>100.4457</v>
      </c>
      <c r="H44" s="7" t="s">
        <v>103</v>
      </c>
      <c r="I44" s="23">
        <f>92*50/100</f>
        <v>46</v>
      </c>
      <c r="J44" s="23">
        <v>50</v>
      </c>
      <c r="K44" s="23">
        <f t="shared" si="1"/>
        <v>96</v>
      </c>
      <c r="L44" s="14">
        <f>($H$106/$G$106*G44)/100*K44</f>
        <v>528.50253992996932</v>
      </c>
    </row>
    <row r="45" spans="1:12" s="1" customFormat="1" ht="15.75" x14ac:dyDescent="0.25">
      <c r="A45" s="5">
        <v>35</v>
      </c>
      <c r="B45" s="5" t="s">
        <v>216</v>
      </c>
      <c r="C45" s="24" t="s">
        <v>6</v>
      </c>
      <c r="D45" s="7">
        <v>50</v>
      </c>
      <c r="E45" s="7" t="s">
        <v>2</v>
      </c>
      <c r="F45" s="7">
        <v>112</v>
      </c>
      <c r="G45" s="7">
        <f t="shared" si="0"/>
        <v>56</v>
      </c>
      <c r="H45" s="7" t="s">
        <v>28</v>
      </c>
      <c r="I45" s="23">
        <f>90*50/90</f>
        <v>50</v>
      </c>
      <c r="J45" s="23">
        <v>40</v>
      </c>
      <c r="K45" s="23">
        <f t="shared" si="1"/>
        <v>90</v>
      </c>
      <c r="L45" s="14">
        <f>($H$106/$G$106*G45)/100*K45</f>
        <v>276.23266447765695</v>
      </c>
    </row>
    <row r="46" spans="1:12" s="1" customFormat="1" ht="15.75" x14ac:dyDescent="0.25">
      <c r="A46" s="5">
        <v>36</v>
      </c>
      <c r="B46" s="5" t="s">
        <v>129</v>
      </c>
      <c r="C46" s="24" t="s">
        <v>6</v>
      </c>
      <c r="D46" s="7">
        <v>100</v>
      </c>
      <c r="E46" s="7" t="s">
        <v>2</v>
      </c>
      <c r="F46" s="7">
        <v>112</v>
      </c>
      <c r="G46" s="7">
        <f t="shared" si="0"/>
        <v>112</v>
      </c>
      <c r="H46" s="7" t="s">
        <v>105</v>
      </c>
      <c r="I46" s="23">
        <f>98*50/100</f>
        <v>49</v>
      </c>
      <c r="J46" s="23">
        <v>25</v>
      </c>
      <c r="K46" s="23">
        <f t="shared" si="1"/>
        <v>74</v>
      </c>
      <c r="L46" s="14">
        <f>($H$106/$G$106*G46)/100*K46</f>
        <v>454.24927047436921</v>
      </c>
    </row>
    <row r="47" spans="1:12" s="1" customFormat="1" ht="15.75" x14ac:dyDescent="0.25">
      <c r="A47" s="5">
        <v>37</v>
      </c>
      <c r="B47" s="5" t="s">
        <v>189</v>
      </c>
      <c r="C47" s="24" t="s">
        <v>6</v>
      </c>
      <c r="D47" s="7">
        <v>100</v>
      </c>
      <c r="E47" s="7" t="s">
        <v>2</v>
      </c>
      <c r="F47" s="7">
        <v>112</v>
      </c>
      <c r="G47" s="7">
        <f t="shared" si="0"/>
        <v>112</v>
      </c>
      <c r="H47" s="7" t="s">
        <v>110</v>
      </c>
      <c r="I47" s="23">
        <f>89*50/100</f>
        <v>44.5</v>
      </c>
      <c r="J47" s="23">
        <v>50</v>
      </c>
      <c r="K47" s="23">
        <f t="shared" si="1"/>
        <v>94.5</v>
      </c>
      <c r="L47" s="14">
        <f>($H$106/$G$106*G47)/100*K47</f>
        <v>580.08859540307958</v>
      </c>
    </row>
    <row r="48" spans="1:12" s="1" customFormat="1" ht="15.75" x14ac:dyDescent="0.25">
      <c r="A48" s="5">
        <v>38</v>
      </c>
      <c r="B48" s="5" t="s">
        <v>69</v>
      </c>
      <c r="C48" s="5" t="s">
        <v>5</v>
      </c>
      <c r="D48" s="7">
        <v>50</v>
      </c>
      <c r="E48" s="7" t="s">
        <v>11</v>
      </c>
      <c r="F48" s="7">
        <v>113</v>
      </c>
      <c r="G48" s="7">
        <f t="shared" si="0"/>
        <v>56.5</v>
      </c>
      <c r="H48" s="7" t="s">
        <v>104</v>
      </c>
      <c r="I48" s="23">
        <f>90*50/90</f>
        <v>50</v>
      </c>
      <c r="J48" s="23">
        <v>15</v>
      </c>
      <c r="K48" s="23">
        <f t="shared" si="1"/>
        <v>65</v>
      </c>
      <c r="L48" s="14">
        <f>($H$106/$G$106*G48)/100*K48</f>
        <v>201.28263101075299</v>
      </c>
    </row>
    <row r="49" spans="1:12" s="1" customFormat="1" ht="15.75" x14ac:dyDescent="0.25">
      <c r="A49" s="5">
        <v>39</v>
      </c>
      <c r="B49" s="5" t="s">
        <v>62</v>
      </c>
      <c r="C49" s="5" t="s">
        <v>6</v>
      </c>
      <c r="D49" s="7">
        <v>100</v>
      </c>
      <c r="E49" s="7" t="s">
        <v>11</v>
      </c>
      <c r="F49" s="7">
        <v>113</v>
      </c>
      <c r="G49" s="7">
        <f t="shared" si="0"/>
        <v>113</v>
      </c>
      <c r="H49" s="7" t="s">
        <v>103</v>
      </c>
      <c r="I49" s="23">
        <f>95*50/100</f>
        <v>47.5</v>
      </c>
      <c r="J49" s="23">
        <v>50</v>
      </c>
      <c r="K49" s="23">
        <f t="shared" si="1"/>
        <v>97.5</v>
      </c>
      <c r="L49" s="14">
        <f>($H$106/$G$106*G49)/100*K49</f>
        <v>603.84789303225898</v>
      </c>
    </row>
    <row r="50" spans="1:12" s="1" customFormat="1" ht="15.75" x14ac:dyDescent="0.25">
      <c r="A50" s="5">
        <v>40</v>
      </c>
      <c r="B50" s="5" t="s">
        <v>130</v>
      </c>
      <c r="C50" s="5" t="s">
        <v>6</v>
      </c>
      <c r="D50" s="7">
        <v>100</v>
      </c>
      <c r="E50" s="7" t="s">
        <v>2</v>
      </c>
      <c r="F50" s="7">
        <v>112</v>
      </c>
      <c r="G50" s="7">
        <f t="shared" si="0"/>
        <v>112</v>
      </c>
      <c r="H50" s="7" t="s">
        <v>28</v>
      </c>
      <c r="I50" s="23">
        <f>88*50/100</f>
        <v>44</v>
      </c>
      <c r="J50" s="23">
        <v>50</v>
      </c>
      <c r="K50" s="23">
        <f t="shared" si="1"/>
        <v>94</v>
      </c>
      <c r="L50" s="14">
        <f>($H$106/$G$106*G50)/100*K50</f>
        <v>577.01934357555012</v>
      </c>
    </row>
    <row r="51" spans="1:12" s="1" customFormat="1" ht="15.75" x14ac:dyDescent="0.25">
      <c r="A51" s="5">
        <v>41</v>
      </c>
      <c r="B51" s="5" t="s">
        <v>131</v>
      </c>
      <c r="C51" s="5" t="s">
        <v>6</v>
      </c>
      <c r="D51" s="7">
        <v>100</v>
      </c>
      <c r="E51" s="7" t="s">
        <v>2</v>
      </c>
      <c r="F51" s="7">
        <v>112</v>
      </c>
      <c r="G51" s="7">
        <f t="shared" si="0"/>
        <v>112</v>
      </c>
      <c r="H51" s="7" t="s">
        <v>111</v>
      </c>
      <c r="I51" s="23">
        <f>72*50/90</f>
        <v>40</v>
      </c>
      <c r="J51" s="23">
        <v>0</v>
      </c>
      <c r="K51" s="23">
        <f t="shared" si="1"/>
        <v>40</v>
      </c>
      <c r="L51" s="14">
        <f>($H$106/$G$106*G51)/100*K51</f>
        <v>245.54014620236174</v>
      </c>
    </row>
    <row r="52" spans="1:12" s="1" customFormat="1" ht="15.75" x14ac:dyDescent="0.25">
      <c r="A52" s="5">
        <v>42</v>
      </c>
      <c r="B52" s="5" t="s">
        <v>60</v>
      </c>
      <c r="C52" s="5" t="s">
        <v>7</v>
      </c>
      <c r="D52" s="7">
        <v>66.67</v>
      </c>
      <c r="E52" s="7" t="s">
        <v>2</v>
      </c>
      <c r="F52" s="7">
        <v>112</v>
      </c>
      <c r="G52" s="7">
        <f t="shared" si="0"/>
        <v>74.670400000000001</v>
      </c>
      <c r="H52" s="7" t="s">
        <v>4</v>
      </c>
      <c r="I52" s="23">
        <f>90*50/90</f>
        <v>50</v>
      </c>
      <c r="J52" s="23">
        <v>40</v>
      </c>
      <c r="K52" s="23">
        <f t="shared" si="1"/>
        <v>90</v>
      </c>
      <c r="L52" s="14">
        <f>($H$106/$G$106*G52)/100*K52</f>
        <v>368.32863481450778</v>
      </c>
    </row>
    <row r="53" spans="1:12" s="1" customFormat="1" ht="15.75" x14ac:dyDescent="0.25">
      <c r="A53" s="5">
        <v>43</v>
      </c>
      <c r="B53" s="5" t="s">
        <v>132</v>
      </c>
      <c r="C53" s="5" t="s">
        <v>6</v>
      </c>
      <c r="D53" s="7">
        <v>100</v>
      </c>
      <c r="E53" s="7" t="s">
        <v>2</v>
      </c>
      <c r="F53" s="7">
        <v>112</v>
      </c>
      <c r="G53" s="7">
        <f t="shared" si="0"/>
        <v>112</v>
      </c>
      <c r="H53" s="7" t="s">
        <v>28</v>
      </c>
      <c r="I53" s="23">
        <f>90*50/90</f>
        <v>50</v>
      </c>
      <c r="J53" s="23">
        <v>5</v>
      </c>
      <c r="K53" s="23">
        <f t="shared" si="1"/>
        <v>55</v>
      </c>
      <c r="L53" s="14">
        <f>($H$106/$G$106*G53)/100*K53</f>
        <v>337.61770102824738</v>
      </c>
    </row>
    <row r="54" spans="1:12" s="1" customFormat="1" ht="15.75" x14ac:dyDescent="0.25">
      <c r="A54" s="5">
        <v>44</v>
      </c>
      <c r="B54" s="5" t="s">
        <v>133</v>
      </c>
      <c r="C54" s="5" t="s">
        <v>6</v>
      </c>
      <c r="D54" s="7">
        <v>100</v>
      </c>
      <c r="E54" s="7" t="s">
        <v>2</v>
      </c>
      <c r="F54" s="7">
        <v>112</v>
      </c>
      <c r="G54" s="7">
        <f t="shared" si="0"/>
        <v>112</v>
      </c>
      <c r="H54" s="7" t="s">
        <v>4</v>
      </c>
      <c r="I54" s="23">
        <f>90*50/90</f>
        <v>50</v>
      </c>
      <c r="J54" s="23">
        <v>25</v>
      </c>
      <c r="K54" s="23">
        <f t="shared" si="1"/>
        <v>75</v>
      </c>
      <c r="L54" s="14">
        <f>($H$106/$G$106*G54)/100*K54</f>
        <v>460.38777412942824</v>
      </c>
    </row>
    <row r="55" spans="1:12" s="1" customFormat="1" ht="15.75" x14ac:dyDescent="0.25">
      <c r="A55" s="5">
        <v>45</v>
      </c>
      <c r="B55" s="5" t="s">
        <v>134</v>
      </c>
      <c r="C55" s="5" t="s">
        <v>6</v>
      </c>
      <c r="D55" s="7">
        <v>100</v>
      </c>
      <c r="E55" s="7" t="s">
        <v>2</v>
      </c>
      <c r="F55" s="7">
        <v>112</v>
      </c>
      <c r="G55" s="7">
        <f t="shared" si="0"/>
        <v>112</v>
      </c>
      <c r="H55" s="7" t="s">
        <v>111</v>
      </c>
      <c r="I55" s="23">
        <f>78*50/90</f>
        <v>43.333333333333336</v>
      </c>
      <c r="J55" s="23">
        <v>50</v>
      </c>
      <c r="K55" s="23">
        <f t="shared" si="1"/>
        <v>93.333333333333343</v>
      </c>
      <c r="L55" s="14">
        <f>($H$106/$G$106*G55)/100*K55</f>
        <v>572.92700780551081</v>
      </c>
    </row>
    <row r="56" spans="1:12" s="1" customFormat="1" ht="15.75" x14ac:dyDescent="0.25">
      <c r="A56" s="5">
        <v>46</v>
      </c>
      <c r="B56" s="5" t="s">
        <v>161</v>
      </c>
      <c r="C56" s="5" t="s">
        <v>5</v>
      </c>
      <c r="D56" s="7">
        <v>50</v>
      </c>
      <c r="E56" s="7" t="s">
        <v>11</v>
      </c>
      <c r="F56" s="7">
        <v>113</v>
      </c>
      <c r="G56" s="7">
        <f t="shared" si="0"/>
        <v>56.5</v>
      </c>
      <c r="H56" s="7" t="s">
        <v>102</v>
      </c>
      <c r="I56" s="23">
        <f>87*50/100</f>
        <v>43.5</v>
      </c>
      <c r="J56" s="23">
        <v>50</v>
      </c>
      <c r="K56" s="23">
        <f t="shared" si="1"/>
        <v>93.5</v>
      </c>
      <c r="L56" s="14">
        <f>($H$106/$G$106*G56)/100*K56</f>
        <v>289.53732306931391</v>
      </c>
    </row>
    <row r="57" spans="1:12" s="1" customFormat="1" ht="15.75" x14ac:dyDescent="0.25">
      <c r="A57" s="5">
        <v>47</v>
      </c>
      <c r="B57" s="5" t="s">
        <v>135</v>
      </c>
      <c r="C57" s="5" t="s">
        <v>6</v>
      </c>
      <c r="D57" s="7">
        <v>100</v>
      </c>
      <c r="E57" s="7" t="s">
        <v>2</v>
      </c>
      <c r="F57" s="7">
        <v>112</v>
      </c>
      <c r="G57" s="7">
        <f t="shared" si="0"/>
        <v>112</v>
      </c>
      <c r="H57" s="7" t="s">
        <v>3</v>
      </c>
      <c r="I57" s="23">
        <f>90*50/90</f>
        <v>50</v>
      </c>
      <c r="J57" s="23">
        <v>15</v>
      </c>
      <c r="K57" s="23">
        <f t="shared" si="1"/>
        <v>65</v>
      </c>
      <c r="L57" s="14">
        <f>($H$106/$G$106*G57)/100*K57</f>
        <v>399.00273757883781</v>
      </c>
    </row>
    <row r="58" spans="1:12" s="1" customFormat="1" ht="15.75" x14ac:dyDescent="0.25">
      <c r="A58" s="5">
        <v>48</v>
      </c>
      <c r="B58" s="5" t="s">
        <v>70</v>
      </c>
      <c r="C58" s="5" t="s">
        <v>6</v>
      </c>
      <c r="D58" s="7">
        <v>100</v>
      </c>
      <c r="E58" s="7" t="s">
        <v>11</v>
      </c>
      <c r="F58" s="7">
        <v>113</v>
      </c>
      <c r="G58" s="7">
        <f t="shared" si="0"/>
        <v>113</v>
      </c>
      <c r="H58" s="7" t="s">
        <v>105</v>
      </c>
      <c r="I58" s="23">
        <f>91*50/100</f>
        <v>45.5</v>
      </c>
      <c r="J58" s="23">
        <v>40</v>
      </c>
      <c r="K58" s="23">
        <f t="shared" si="1"/>
        <v>85.5</v>
      </c>
      <c r="L58" s="14">
        <f>($H$106/$G$106*G58)/100*K58</f>
        <v>529.52815235136563</v>
      </c>
    </row>
    <row r="59" spans="1:12" s="1" customFormat="1" ht="15.75" x14ac:dyDescent="0.25">
      <c r="A59" s="5">
        <v>49</v>
      </c>
      <c r="B59" s="5" t="s">
        <v>236</v>
      </c>
      <c r="C59" s="5" t="s">
        <v>6</v>
      </c>
      <c r="D59" s="7">
        <v>54.17</v>
      </c>
      <c r="E59" s="7" t="s">
        <v>2</v>
      </c>
      <c r="F59" s="7">
        <v>112</v>
      </c>
      <c r="G59" s="7">
        <f t="shared" si="0"/>
        <v>60.670400000000001</v>
      </c>
      <c r="H59" s="7" t="s">
        <v>3</v>
      </c>
      <c r="I59" s="23">
        <f>90*50/90</f>
        <v>50</v>
      </c>
      <c r="J59" s="23">
        <v>50</v>
      </c>
      <c r="K59" s="23">
        <f t="shared" si="1"/>
        <v>100</v>
      </c>
      <c r="L59" s="14">
        <f>($H$106/$G$106*G59)/100*K59</f>
        <v>332.52274299454842</v>
      </c>
    </row>
    <row r="60" spans="1:12" s="1" customFormat="1" ht="15.75" x14ac:dyDescent="0.25">
      <c r="A60" s="5">
        <v>50</v>
      </c>
      <c r="B60" s="5" t="s">
        <v>162</v>
      </c>
      <c r="C60" s="5" t="s">
        <v>6</v>
      </c>
      <c r="D60" s="7">
        <v>100</v>
      </c>
      <c r="E60" s="7" t="s">
        <v>2</v>
      </c>
      <c r="F60" s="7">
        <v>112</v>
      </c>
      <c r="G60" s="7">
        <f t="shared" si="0"/>
        <v>112</v>
      </c>
      <c r="H60" s="7" t="s">
        <v>105</v>
      </c>
      <c r="I60" s="23">
        <f>91*50/100</f>
        <v>45.5</v>
      </c>
      <c r="J60" s="23">
        <v>50</v>
      </c>
      <c r="K60" s="23">
        <f t="shared" si="1"/>
        <v>95.5</v>
      </c>
      <c r="L60" s="14">
        <f>($H$106/$G$106*G60)/100*K60</f>
        <v>586.22709905813861</v>
      </c>
    </row>
    <row r="61" spans="1:12" s="1" customFormat="1" ht="15.75" x14ac:dyDescent="0.25">
      <c r="A61" s="5">
        <v>51</v>
      </c>
      <c r="B61" s="5" t="s">
        <v>218</v>
      </c>
      <c r="C61" s="5" t="s">
        <v>6</v>
      </c>
      <c r="D61" s="7">
        <v>100</v>
      </c>
      <c r="E61" s="7" t="s">
        <v>2</v>
      </c>
      <c r="F61" s="7">
        <v>112</v>
      </c>
      <c r="G61" s="7">
        <f t="shared" si="0"/>
        <v>112</v>
      </c>
      <c r="H61" s="7" t="s">
        <v>103</v>
      </c>
      <c r="I61" s="23">
        <f>79*50/100</f>
        <v>39.5</v>
      </c>
      <c r="J61" s="23">
        <v>50</v>
      </c>
      <c r="K61" s="23">
        <f t="shared" si="1"/>
        <v>89.5</v>
      </c>
      <c r="L61" s="14">
        <f>($H$106/$G$106*G61)/100*K61</f>
        <v>549.39607712778434</v>
      </c>
    </row>
    <row r="62" spans="1:12" s="1" customFormat="1" ht="15.75" x14ac:dyDescent="0.25">
      <c r="A62" s="5">
        <v>52</v>
      </c>
      <c r="B62" s="5" t="s">
        <v>136</v>
      </c>
      <c r="C62" s="5" t="s">
        <v>6</v>
      </c>
      <c r="D62" s="7">
        <v>100</v>
      </c>
      <c r="E62" s="7" t="s">
        <v>2</v>
      </c>
      <c r="F62" s="7">
        <v>112</v>
      </c>
      <c r="G62" s="7">
        <f t="shared" si="0"/>
        <v>112</v>
      </c>
      <c r="H62" s="7" t="s">
        <v>4</v>
      </c>
      <c r="I62" s="23">
        <f>90*50/90</f>
        <v>50</v>
      </c>
      <c r="J62" s="23">
        <v>40</v>
      </c>
      <c r="K62" s="23">
        <f t="shared" si="1"/>
        <v>90</v>
      </c>
      <c r="L62" s="14">
        <f>($H$106/$G$106*G62)/100*K62</f>
        <v>552.46532895531391</v>
      </c>
    </row>
    <row r="63" spans="1:12" s="1" customFormat="1" ht="15.75" x14ac:dyDescent="0.25">
      <c r="A63" s="5">
        <v>53</v>
      </c>
      <c r="B63" s="5" t="s">
        <v>137</v>
      </c>
      <c r="C63" s="5" t="s">
        <v>6</v>
      </c>
      <c r="D63" s="7">
        <v>100</v>
      </c>
      <c r="E63" s="7" t="s">
        <v>2</v>
      </c>
      <c r="F63" s="7">
        <v>112</v>
      </c>
      <c r="G63" s="7">
        <f t="shared" si="0"/>
        <v>112</v>
      </c>
      <c r="H63" s="7" t="s">
        <v>28</v>
      </c>
      <c r="I63" s="23">
        <f>90*50/90</f>
        <v>50</v>
      </c>
      <c r="J63" s="23">
        <v>15</v>
      </c>
      <c r="K63" s="23">
        <f t="shared" si="1"/>
        <v>65</v>
      </c>
      <c r="L63" s="14">
        <f>($H$106/$G$106*G63)/100*K63</f>
        <v>399.00273757883781</v>
      </c>
    </row>
    <row r="64" spans="1:12" s="1" customFormat="1" ht="15.75" x14ac:dyDescent="0.25">
      <c r="A64" s="5">
        <v>54</v>
      </c>
      <c r="B64" s="5" t="s">
        <v>219</v>
      </c>
      <c r="C64" s="5" t="s">
        <v>7</v>
      </c>
      <c r="D64" s="7">
        <v>16.670000000000002</v>
      </c>
      <c r="E64" s="7" t="s">
        <v>2</v>
      </c>
      <c r="F64" s="7">
        <v>112</v>
      </c>
      <c r="G64" s="7">
        <f t="shared" si="0"/>
        <v>18.670400000000001</v>
      </c>
      <c r="H64" s="7" t="s">
        <v>111</v>
      </c>
      <c r="I64" s="23">
        <f>73*50/90</f>
        <v>40.555555555555557</v>
      </c>
      <c r="J64" s="23">
        <v>50</v>
      </c>
      <c r="K64" s="23">
        <f t="shared" si="1"/>
        <v>90.555555555555557</v>
      </c>
      <c r="L64" s="14">
        <f>($H$106/$G$106*G64)/100*K64</f>
        <v>92.664463980905481</v>
      </c>
    </row>
    <row r="65" spans="1:12" s="1" customFormat="1" ht="15.75" x14ac:dyDescent="0.25">
      <c r="A65" s="5">
        <v>55</v>
      </c>
      <c r="B65" s="5" t="s">
        <v>200</v>
      </c>
      <c r="C65" s="5" t="s">
        <v>6</v>
      </c>
      <c r="D65" s="7">
        <v>100</v>
      </c>
      <c r="E65" s="7" t="s">
        <v>2</v>
      </c>
      <c r="F65" s="7">
        <v>112</v>
      </c>
      <c r="G65" s="7">
        <f t="shared" si="0"/>
        <v>112</v>
      </c>
      <c r="H65" s="7" t="s">
        <v>4</v>
      </c>
      <c r="I65" s="23">
        <f>90*50/90</f>
        <v>50</v>
      </c>
      <c r="J65" s="23">
        <v>15</v>
      </c>
      <c r="K65" s="23">
        <f t="shared" si="1"/>
        <v>65</v>
      </c>
      <c r="L65" s="14">
        <f>($H$106/$G$106*G65)/100*K65</f>
        <v>399.00273757883781</v>
      </c>
    </row>
    <row r="66" spans="1:12" s="1" customFormat="1" ht="15.75" x14ac:dyDescent="0.25">
      <c r="A66" s="5">
        <v>56</v>
      </c>
      <c r="B66" s="5" t="s">
        <v>55</v>
      </c>
      <c r="C66" s="5" t="s">
        <v>7</v>
      </c>
      <c r="D66" s="7">
        <f>24/36*100</f>
        <v>66.666666666666657</v>
      </c>
      <c r="E66" s="7" t="s">
        <v>11</v>
      </c>
      <c r="F66" s="7">
        <v>113</v>
      </c>
      <c r="G66" s="7">
        <f t="shared" si="0"/>
        <v>75.333333333333314</v>
      </c>
      <c r="H66" s="7" t="s">
        <v>4</v>
      </c>
      <c r="I66" s="23">
        <f>90*50/90</f>
        <v>50</v>
      </c>
      <c r="J66" s="23">
        <v>50</v>
      </c>
      <c r="K66" s="23">
        <f t="shared" si="1"/>
        <v>100</v>
      </c>
      <c r="L66" s="14">
        <f>($H$106/$G$106*G66)/100*K66</f>
        <v>412.88744822718559</v>
      </c>
    </row>
    <row r="67" spans="1:12" s="1" customFormat="1" ht="15.75" x14ac:dyDescent="0.25">
      <c r="A67" s="5">
        <v>57</v>
      </c>
      <c r="B67" s="5" t="s">
        <v>221</v>
      </c>
      <c r="C67" s="5" t="s">
        <v>7</v>
      </c>
      <c r="D67" s="7">
        <v>66.67</v>
      </c>
      <c r="E67" s="7" t="s">
        <v>2</v>
      </c>
      <c r="F67" s="7">
        <v>112</v>
      </c>
      <c r="G67" s="7">
        <f t="shared" si="0"/>
        <v>74.670400000000001</v>
      </c>
      <c r="H67" s="7" t="s">
        <v>111</v>
      </c>
      <c r="I67" s="23">
        <f>81*50/90</f>
        <v>45</v>
      </c>
      <c r="J67" s="23">
        <v>50</v>
      </c>
      <c r="K67" s="23">
        <f t="shared" si="1"/>
        <v>95</v>
      </c>
      <c r="L67" s="14">
        <f>($H$106/$G$106*G67)/100*K67</f>
        <v>388.7913367486471</v>
      </c>
    </row>
    <row r="68" spans="1:12" s="1" customFormat="1" ht="15.75" x14ac:dyDescent="0.25">
      <c r="A68" s="5">
        <v>58</v>
      </c>
      <c r="B68" s="5" t="s">
        <v>71</v>
      </c>
      <c r="C68" s="5" t="s">
        <v>6</v>
      </c>
      <c r="D68" s="7">
        <v>100</v>
      </c>
      <c r="E68" s="7" t="s">
        <v>11</v>
      </c>
      <c r="F68" s="7">
        <v>113</v>
      </c>
      <c r="G68" s="7">
        <f t="shared" si="0"/>
        <v>113</v>
      </c>
      <c r="H68" s="7" t="s">
        <v>103</v>
      </c>
      <c r="I68" s="23">
        <f>92*50/100</f>
        <v>46</v>
      </c>
      <c r="J68" s="23">
        <v>50</v>
      </c>
      <c r="K68" s="23">
        <f t="shared" si="1"/>
        <v>96</v>
      </c>
      <c r="L68" s="14">
        <f>($H$106/$G$106*G68)/100*K68</f>
        <v>594.55792544714734</v>
      </c>
    </row>
    <row r="69" spans="1:12" s="1" customFormat="1" ht="15.75" x14ac:dyDescent="0.25">
      <c r="A69" s="5">
        <v>59</v>
      </c>
      <c r="B69" s="5" t="s">
        <v>48</v>
      </c>
      <c r="C69" s="5" t="s">
        <v>6</v>
      </c>
      <c r="D69" s="7">
        <v>50</v>
      </c>
      <c r="E69" s="7" t="s">
        <v>2</v>
      </c>
      <c r="F69" s="7">
        <v>112</v>
      </c>
      <c r="G69" s="7">
        <f t="shared" si="0"/>
        <v>56</v>
      </c>
      <c r="H69" s="7" t="s">
        <v>26</v>
      </c>
      <c r="I69" s="23">
        <f>90*50/90</f>
        <v>50</v>
      </c>
      <c r="J69" s="23">
        <v>40</v>
      </c>
      <c r="K69" s="23">
        <f t="shared" si="1"/>
        <v>90</v>
      </c>
      <c r="L69" s="14">
        <f>($H$106/$G$106*G69)/100*K69</f>
        <v>276.23266447765695</v>
      </c>
    </row>
    <row r="70" spans="1:12" s="1" customFormat="1" ht="15.75" x14ac:dyDescent="0.25">
      <c r="A70" s="5">
        <v>60</v>
      </c>
      <c r="B70" s="5" t="s">
        <v>140</v>
      </c>
      <c r="C70" s="5" t="s">
        <v>6</v>
      </c>
      <c r="D70" s="7">
        <v>100</v>
      </c>
      <c r="E70" s="7" t="s">
        <v>2</v>
      </c>
      <c r="F70" s="7">
        <v>112</v>
      </c>
      <c r="G70" s="7">
        <f t="shared" si="0"/>
        <v>112</v>
      </c>
      <c r="H70" s="7" t="s">
        <v>103</v>
      </c>
      <c r="I70" s="23">
        <f>86*50/100</f>
        <v>43</v>
      </c>
      <c r="J70" s="23">
        <v>40</v>
      </c>
      <c r="K70" s="23">
        <f t="shared" si="1"/>
        <v>83</v>
      </c>
      <c r="L70" s="14">
        <f>($H$106/$G$106*G70)/100*K70</f>
        <v>509.49580336990061</v>
      </c>
    </row>
    <row r="71" spans="1:12" s="1" customFormat="1" ht="15.75" x14ac:dyDescent="0.25">
      <c r="A71" s="5">
        <v>61</v>
      </c>
      <c r="B71" s="5" t="s">
        <v>201</v>
      </c>
      <c r="C71" s="5" t="s">
        <v>6</v>
      </c>
      <c r="D71" s="7">
        <v>100</v>
      </c>
      <c r="E71" s="7" t="s">
        <v>2</v>
      </c>
      <c r="F71" s="7">
        <v>112</v>
      </c>
      <c r="G71" s="7">
        <f t="shared" si="0"/>
        <v>112</v>
      </c>
      <c r="H71" s="7" t="s">
        <v>28</v>
      </c>
      <c r="I71" s="23">
        <f>83.5*50/90</f>
        <v>46.388888888888886</v>
      </c>
      <c r="J71" s="23">
        <v>50</v>
      </c>
      <c r="K71" s="23">
        <f t="shared" si="1"/>
        <v>96.388888888888886</v>
      </c>
      <c r="L71" s="14">
        <f>($H$106/$G$106*G71)/100*K71</f>
        <v>591.68354675152443</v>
      </c>
    </row>
    <row r="72" spans="1:12" s="1" customFormat="1" ht="15.75" x14ac:dyDescent="0.25">
      <c r="A72" s="5">
        <v>62</v>
      </c>
      <c r="B72" s="5" t="s">
        <v>64</v>
      </c>
      <c r="C72" s="5" t="s">
        <v>6</v>
      </c>
      <c r="D72" s="7">
        <v>100</v>
      </c>
      <c r="E72" s="7" t="s">
        <v>2</v>
      </c>
      <c r="F72" s="7">
        <v>112</v>
      </c>
      <c r="G72" s="7">
        <f t="shared" si="0"/>
        <v>112</v>
      </c>
      <c r="H72" s="7" t="s">
        <v>3</v>
      </c>
      <c r="I72" s="23">
        <f>90*50/90</f>
        <v>50</v>
      </c>
      <c r="J72" s="23">
        <v>15</v>
      </c>
      <c r="K72" s="23">
        <f t="shared" si="1"/>
        <v>65</v>
      </c>
      <c r="L72" s="14">
        <f>($H$106/$G$106*G72)/100*K72</f>
        <v>399.00273757883781</v>
      </c>
    </row>
    <row r="73" spans="1:12" s="1" customFormat="1" ht="15.75" x14ac:dyDescent="0.25">
      <c r="A73" s="5">
        <v>63</v>
      </c>
      <c r="B73" s="5" t="s">
        <v>141</v>
      </c>
      <c r="C73" s="5" t="s">
        <v>6</v>
      </c>
      <c r="D73" s="7">
        <v>41.67</v>
      </c>
      <c r="E73" s="7" t="s">
        <v>2</v>
      </c>
      <c r="F73" s="7">
        <v>112</v>
      </c>
      <c r="G73" s="7">
        <f t="shared" si="0"/>
        <v>46.670400000000001</v>
      </c>
      <c r="H73" s="7" t="s">
        <v>105</v>
      </c>
      <c r="I73" s="23">
        <f>89*50/100</f>
        <v>44.5</v>
      </c>
      <c r="J73" s="23">
        <v>50</v>
      </c>
      <c r="K73" s="23">
        <f t="shared" si="1"/>
        <v>94.5</v>
      </c>
      <c r="L73" s="14">
        <f>($H$106/$G$106*G73)/100*K73</f>
        <v>241.7229177044633</v>
      </c>
    </row>
    <row r="74" spans="1:12" s="1" customFormat="1" ht="15.75" x14ac:dyDescent="0.25">
      <c r="A74" s="5">
        <v>64</v>
      </c>
      <c r="B74" s="5" t="s">
        <v>222</v>
      </c>
      <c r="C74" s="5" t="s">
        <v>6</v>
      </c>
      <c r="D74" s="7">
        <v>100</v>
      </c>
      <c r="E74" s="7" t="s">
        <v>2</v>
      </c>
      <c r="F74" s="7">
        <v>112</v>
      </c>
      <c r="G74" s="7">
        <f t="shared" si="0"/>
        <v>112</v>
      </c>
      <c r="H74" s="7" t="s">
        <v>103</v>
      </c>
      <c r="I74" s="23">
        <f>79*50/90</f>
        <v>43.888888888888886</v>
      </c>
      <c r="J74" s="23">
        <v>50</v>
      </c>
      <c r="K74" s="23">
        <f t="shared" si="1"/>
        <v>93.888888888888886</v>
      </c>
      <c r="L74" s="14">
        <f>($H$106/$G$106*G74)/100*K74</f>
        <v>576.33728761387681</v>
      </c>
    </row>
    <row r="75" spans="1:12" s="1" customFormat="1" ht="15.75" x14ac:dyDescent="0.25">
      <c r="A75" s="5">
        <v>65</v>
      </c>
      <c r="B75" s="5" t="s">
        <v>142</v>
      </c>
      <c r="C75" s="5" t="s">
        <v>6</v>
      </c>
      <c r="D75" s="7">
        <v>100</v>
      </c>
      <c r="E75" s="7" t="s">
        <v>2</v>
      </c>
      <c r="F75" s="7">
        <v>112</v>
      </c>
      <c r="G75" s="7">
        <f t="shared" ref="G75:G104" si="3">F75*D75/100</f>
        <v>112</v>
      </c>
      <c r="H75" s="7" t="s">
        <v>4</v>
      </c>
      <c r="I75" s="23">
        <f>90*50/90</f>
        <v>50</v>
      </c>
      <c r="J75" s="23">
        <v>25</v>
      </c>
      <c r="K75" s="23">
        <f t="shared" si="1"/>
        <v>75</v>
      </c>
      <c r="L75" s="14">
        <f>($H$106/$G$106*G75)/100*K75</f>
        <v>460.38777412942824</v>
      </c>
    </row>
    <row r="76" spans="1:12" s="1" customFormat="1" ht="15.75" x14ac:dyDescent="0.25">
      <c r="A76" s="5">
        <v>66</v>
      </c>
      <c r="B76" s="5" t="s">
        <v>223</v>
      </c>
      <c r="C76" s="5" t="s">
        <v>6</v>
      </c>
      <c r="D76" s="7">
        <v>13</v>
      </c>
      <c r="E76" s="7" t="s">
        <v>2</v>
      </c>
      <c r="F76" s="7">
        <v>112</v>
      </c>
      <c r="G76" s="7">
        <f t="shared" si="3"/>
        <v>14.56</v>
      </c>
      <c r="H76" s="7" t="s">
        <v>28</v>
      </c>
      <c r="I76" s="23">
        <f>87*50/100</f>
        <v>43.5</v>
      </c>
      <c r="J76" s="23">
        <v>50</v>
      </c>
      <c r="K76" s="23">
        <f t="shared" ref="K76:K104" si="4">SUM(I76:J76)</f>
        <v>93.5</v>
      </c>
      <c r="L76" s="14">
        <f>($H$106/$G$106*G76)/100*K76</f>
        <v>74.613511927242683</v>
      </c>
    </row>
    <row r="77" spans="1:12" s="1" customFormat="1" ht="15.75" x14ac:dyDescent="0.25">
      <c r="A77" s="5">
        <v>67</v>
      </c>
      <c r="B77" s="5" t="s">
        <v>56</v>
      </c>
      <c r="C77" s="5" t="s">
        <v>7</v>
      </c>
      <c r="D77" s="7">
        <f>100/3*2</f>
        <v>66.666666666666671</v>
      </c>
      <c r="E77" s="7" t="s">
        <v>11</v>
      </c>
      <c r="F77" s="7">
        <v>113</v>
      </c>
      <c r="G77" s="7">
        <f t="shared" si="3"/>
        <v>75.333333333333343</v>
      </c>
      <c r="H77" s="7" t="s">
        <v>28</v>
      </c>
      <c r="I77" s="23">
        <f>89*50/100</f>
        <v>44.5</v>
      </c>
      <c r="J77" s="23">
        <v>50</v>
      </c>
      <c r="K77" s="23">
        <f t="shared" si="4"/>
        <v>94.5</v>
      </c>
      <c r="L77" s="14">
        <f>($H$106/$G$106*G77)/100*K77</f>
        <v>390.17863857469047</v>
      </c>
    </row>
    <row r="78" spans="1:12" s="1" customFormat="1" ht="15.75" x14ac:dyDescent="0.25">
      <c r="A78" s="5">
        <v>68</v>
      </c>
      <c r="B78" s="5" t="s">
        <v>163</v>
      </c>
      <c r="C78" s="5" t="s">
        <v>6</v>
      </c>
      <c r="D78" s="7">
        <v>100</v>
      </c>
      <c r="E78" s="7" t="s">
        <v>2</v>
      </c>
      <c r="F78" s="7">
        <v>112</v>
      </c>
      <c r="G78" s="7">
        <f t="shared" si="3"/>
        <v>112</v>
      </c>
      <c r="H78" s="7" t="s">
        <v>26</v>
      </c>
      <c r="I78" s="23">
        <f>90*50/90</f>
        <v>50</v>
      </c>
      <c r="J78" s="23">
        <v>50</v>
      </c>
      <c r="K78" s="23">
        <f t="shared" si="4"/>
        <v>100</v>
      </c>
      <c r="L78" s="14">
        <f>($H$106/$G$106*G78)/100*K78</f>
        <v>613.85036550590439</v>
      </c>
    </row>
    <row r="79" spans="1:12" s="1" customFormat="1" ht="15.75" x14ac:dyDescent="0.25">
      <c r="A79" s="5">
        <v>69</v>
      </c>
      <c r="B79" s="5" t="s">
        <v>143</v>
      </c>
      <c r="C79" s="5" t="s">
        <v>6</v>
      </c>
      <c r="D79" s="7">
        <v>100</v>
      </c>
      <c r="E79" s="7" t="s">
        <v>2</v>
      </c>
      <c r="F79" s="7">
        <v>112</v>
      </c>
      <c r="G79" s="7">
        <f t="shared" si="3"/>
        <v>112</v>
      </c>
      <c r="H79" s="7" t="s">
        <v>110</v>
      </c>
      <c r="I79" s="23">
        <f>93*50/100</f>
        <v>46.5</v>
      </c>
      <c r="J79" s="23">
        <v>50</v>
      </c>
      <c r="K79" s="23">
        <f t="shared" si="4"/>
        <v>96.5</v>
      </c>
      <c r="L79" s="14">
        <f>($H$106/$G$106*G79)/100*K79</f>
        <v>592.36560271319775</v>
      </c>
    </row>
    <row r="80" spans="1:12" s="1" customFormat="1" ht="15.75" x14ac:dyDescent="0.25">
      <c r="A80" s="5">
        <v>70</v>
      </c>
      <c r="B80" s="5" t="s">
        <v>224</v>
      </c>
      <c r="C80" s="5" t="s">
        <v>6</v>
      </c>
      <c r="D80" s="7">
        <v>100</v>
      </c>
      <c r="E80" s="7" t="s">
        <v>2</v>
      </c>
      <c r="F80" s="7">
        <v>112</v>
      </c>
      <c r="G80" s="7">
        <f t="shared" si="3"/>
        <v>112</v>
      </c>
      <c r="H80" s="7" t="s">
        <v>4</v>
      </c>
      <c r="I80" s="23">
        <f>90*50/90</f>
        <v>50</v>
      </c>
      <c r="J80" s="23">
        <v>50</v>
      </c>
      <c r="K80" s="23">
        <f t="shared" si="4"/>
        <v>100</v>
      </c>
      <c r="L80" s="14">
        <f>($H$106/$G$106*G80)/100*K80</f>
        <v>613.85036550590439</v>
      </c>
    </row>
    <row r="81" spans="1:12" s="1" customFormat="1" ht="15.75" x14ac:dyDescent="0.25">
      <c r="A81" s="5">
        <v>71</v>
      </c>
      <c r="B81" s="5" t="s">
        <v>47</v>
      </c>
      <c r="C81" s="5" t="s">
        <v>6</v>
      </c>
      <c r="D81" s="7">
        <v>79</v>
      </c>
      <c r="E81" s="7" t="s">
        <v>2</v>
      </c>
      <c r="F81" s="7">
        <v>112</v>
      </c>
      <c r="G81" s="7">
        <f t="shared" si="3"/>
        <v>88.48</v>
      </c>
      <c r="H81" s="7" t="s">
        <v>28</v>
      </c>
      <c r="I81" s="23">
        <f>90*50/90</f>
        <v>50</v>
      </c>
      <c r="J81" s="23">
        <v>25</v>
      </c>
      <c r="K81" s="23">
        <f t="shared" si="4"/>
        <v>75</v>
      </c>
      <c r="L81" s="14">
        <f>($H$106/$G$106*G81)/100*K81</f>
        <v>363.70634156224838</v>
      </c>
    </row>
    <row r="82" spans="1:12" s="1" customFormat="1" ht="15.75" x14ac:dyDescent="0.25">
      <c r="A82" s="5">
        <v>72</v>
      </c>
      <c r="B82" s="5" t="s">
        <v>72</v>
      </c>
      <c r="C82" s="5" t="s">
        <v>6</v>
      </c>
      <c r="D82" s="7">
        <v>100</v>
      </c>
      <c r="E82" s="7" t="s">
        <v>11</v>
      </c>
      <c r="F82" s="7">
        <v>113</v>
      </c>
      <c r="G82" s="7">
        <f t="shared" si="3"/>
        <v>113</v>
      </c>
      <c r="H82" s="7" t="s">
        <v>103</v>
      </c>
      <c r="I82" s="23">
        <f>87*50/100</f>
        <v>43.5</v>
      </c>
      <c r="J82" s="23">
        <v>50</v>
      </c>
      <c r="K82" s="23">
        <f t="shared" si="4"/>
        <v>93.5</v>
      </c>
      <c r="L82" s="14">
        <f>($H$106/$G$106*G82)/100*K82</f>
        <v>579.07464613862783</v>
      </c>
    </row>
    <row r="83" spans="1:12" s="1" customFormat="1" ht="15.75" x14ac:dyDescent="0.25">
      <c r="A83" s="5">
        <v>73</v>
      </c>
      <c r="B83" s="5" t="s">
        <v>73</v>
      </c>
      <c r="C83" s="5" t="s">
        <v>225</v>
      </c>
      <c r="D83" s="7">
        <v>91.67</v>
      </c>
      <c r="E83" s="7" t="s">
        <v>11</v>
      </c>
      <c r="F83" s="7">
        <v>113</v>
      </c>
      <c r="G83" s="7">
        <f t="shared" si="3"/>
        <v>103.58710000000001</v>
      </c>
      <c r="H83" s="7" t="s">
        <v>105</v>
      </c>
      <c r="I83" s="23">
        <f>92*50/100</f>
        <v>46</v>
      </c>
      <c r="J83" s="23">
        <v>0</v>
      </c>
      <c r="K83" s="23">
        <f t="shared" si="4"/>
        <v>46</v>
      </c>
      <c r="L83" s="14">
        <f>($H$106/$G$106*G83)/100*K83</f>
        <v>261.16080741500417</v>
      </c>
    </row>
    <row r="84" spans="1:12" s="1" customFormat="1" ht="15.75" x14ac:dyDescent="0.25">
      <c r="A84" s="5">
        <v>74</v>
      </c>
      <c r="B84" s="5" t="s">
        <v>144</v>
      </c>
      <c r="C84" s="5" t="s">
        <v>6</v>
      </c>
      <c r="D84" s="7">
        <v>100</v>
      </c>
      <c r="E84" s="7" t="s">
        <v>2</v>
      </c>
      <c r="F84" s="7">
        <v>112</v>
      </c>
      <c r="G84" s="7">
        <f t="shared" si="3"/>
        <v>112</v>
      </c>
      <c r="H84" s="7" t="s">
        <v>26</v>
      </c>
      <c r="I84" s="23">
        <f>90*50/90</f>
        <v>50</v>
      </c>
      <c r="J84" s="23">
        <v>5</v>
      </c>
      <c r="K84" s="23">
        <f t="shared" si="4"/>
        <v>55</v>
      </c>
      <c r="L84" s="14">
        <f>($H$106/$G$106*G84)/100*K84</f>
        <v>337.61770102824738</v>
      </c>
    </row>
    <row r="85" spans="1:12" s="1" customFormat="1" ht="15.75" x14ac:dyDescent="0.25">
      <c r="A85" s="5">
        <v>75</v>
      </c>
      <c r="B85" s="5" t="s">
        <v>164</v>
      </c>
      <c r="C85" s="5" t="s">
        <v>6</v>
      </c>
      <c r="D85" s="7">
        <v>100</v>
      </c>
      <c r="E85" s="7" t="s">
        <v>2</v>
      </c>
      <c r="F85" s="7">
        <v>112</v>
      </c>
      <c r="G85" s="7">
        <f t="shared" si="3"/>
        <v>112</v>
      </c>
      <c r="H85" s="7" t="s">
        <v>3</v>
      </c>
      <c r="I85" s="23">
        <f>90*50/90</f>
        <v>50</v>
      </c>
      <c r="J85" s="23">
        <v>0</v>
      </c>
      <c r="K85" s="23">
        <f t="shared" si="4"/>
        <v>50</v>
      </c>
      <c r="L85" s="14">
        <f>($H$106/$G$106*G85)/100*K85</f>
        <v>306.9251827529522</v>
      </c>
    </row>
    <row r="86" spans="1:12" s="1" customFormat="1" ht="15.75" x14ac:dyDescent="0.25">
      <c r="A86" s="5">
        <v>76</v>
      </c>
      <c r="B86" s="5" t="s">
        <v>199</v>
      </c>
      <c r="C86" s="5" t="s">
        <v>6</v>
      </c>
      <c r="D86" s="7">
        <v>100</v>
      </c>
      <c r="E86" s="7" t="s">
        <v>2</v>
      </c>
      <c r="F86" s="7">
        <v>112</v>
      </c>
      <c r="G86" s="7">
        <f t="shared" si="3"/>
        <v>112</v>
      </c>
      <c r="H86" s="7" t="s">
        <v>26</v>
      </c>
      <c r="I86" s="23">
        <f>90*50/90</f>
        <v>50</v>
      </c>
      <c r="J86" s="23">
        <v>50</v>
      </c>
      <c r="K86" s="23">
        <f t="shared" si="4"/>
        <v>100</v>
      </c>
      <c r="L86" s="14">
        <f>($H$106/$G$106*G86)/100*K86</f>
        <v>613.85036550590439</v>
      </c>
    </row>
    <row r="87" spans="1:12" s="1" customFormat="1" ht="15.75" x14ac:dyDescent="0.25">
      <c r="A87" s="5">
        <v>77</v>
      </c>
      <c r="B87" s="5" t="s">
        <v>145</v>
      </c>
      <c r="C87" s="5" t="s">
        <v>6</v>
      </c>
      <c r="D87" s="7">
        <v>100</v>
      </c>
      <c r="E87" s="7" t="s">
        <v>2</v>
      </c>
      <c r="F87" s="7">
        <v>112</v>
      </c>
      <c r="G87" s="7">
        <f t="shared" si="3"/>
        <v>112</v>
      </c>
      <c r="H87" s="7" t="s">
        <v>3</v>
      </c>
      <c r="I87" s="23">
        <f>90*50/90</f>
        <v>50</v>
      </c>
      <c r="J87" s="23">
        <v>0</v>
      </c>
      <c r="K87" s="23">
        <f t="shared" si="4"/>
        <v>50</v>
      </c>
      <c r="L87" s="14">
        <f>($H$106/$G$106*G87)/100*K87</f>
        <v>306.9251827529522</v>
      </c>
    </row>
    <row r="88" spans="1:12" s="1" customFormat="1" ht="15.75" x14ac:dyDescent="0.25">
      <c r="A88" s="5">
        <v>78</v>
      </c>
      <c r="B88" s="5" t="s">
        <v>146</v>
      </c>
      <c r="C88" s="5" t="s">
        <v>6</v>
      </c>
      <c r="D88" s="7">
        <v>66.67</v>
      </c>
      <c r="E88" s="7" t="s">
        <v>11</v>
      </c>
      <c r="F88" s="7">
        <v>113</v>
      </c>
      <c r="G88" s="7">
        <f t="shared" si="3"/>
        <v>75.337100000000007</v>
      </c>
      <c r="H88" s="7" t="s">
        <v>4</v>
      </c>
      <c r="I88" s="23">
        <f>90*50/90</f>
        <v>50</v>
      </c>
      <c r="J88" s="23">
        <v>40</v>
      </c>
      <c r="K88" s="23">
        <f t="shared" si="4"/>
        <v>90</v>
      </c>
      <c r="L88" s="14">
        <f>($H$106/$G$106*G88)/100*K88</f>
        <v>371.61728333963737</v>
      </c>
    </row>
    <row r="89" spans="1:12" s="1" customFormat="1" ht="15.75" x14ac:dyDescent="0.25">
      <c r="A89" s="5">
        <v>79</v>
      </c>
      <c r="B89" s="5" t="s">
        <v>49</v>
      </c>
      <c r="C89" s="5" t="s">
        <v>6</v>
      </c>
      <c r="D89" s="7">
        <v>100</v>
      </c>
      <c r="E89" s="7" t="s">
        <v>2</v>
      </c>
      <c r="F89" s="7">
        <v>112</v>
      </c>
      <c r="G89" s="7">
        <f t="shared" si="3"/>
        <v>112</v>
      </c>
      <c r="H89" s="7" t="s">
        <v>110</v>
      </c>
      <c r="I89" s="23">
        <f>85*50/100</f>
        <v>42.5</v>
      </c>
      <c r="J89" s="23">
        <v>50</v>
      </c>
      <c r="K89" s="23">
        <f t="shared" si="4"/>
        <v>92.5</v>
      </c>
      <c r="L89" s="14">
        <f>($H$106/$G$106*G89)/100*K89</f>
        <v>567.81158809296153</v>
      </c>
    </row>
    <row r="90" spans="1:12" s="1" customFormat="1" ht="15.75" x14ac:dyDescent="0.25">
      <c r="A90" s="5">
        <v>80</v>
      </c>
      <c r="B90" s="5" t="s">
        <v>227</v>
      </c>
      <c r="C90" s="5" t="s">
        <v>6</v>
      </c>
      <c r="D90" s="7">
        <v>91.67</v>
      </c>
      <c r="E90" s="7" t="s">
        <v>2</v>
      </c>
      <c r="F90" s="7">
        <v>112</v>
      </c>
      <c r="G90" s="7">
        <f t="shared" si="3"/>
        <v>102.67040000000001</v>
      </c>
      <c r="H90" s="7" t="s">
        <v>4</v>
      </c>
      <c r="I90" s="23">
        <f>90*50/90</f>
        <v>50</v>
      </c>
      <c r="J90" s="23">
        <v>50</v>
      </c>
      <c r="K90" s="23">
        <f t="shared" si="4"/>
        <v>100</v>
      </c>
      <c r="L90" s="14">
        <f>($H$106/$G$106*G90)/100*K90</f>
        <v>562.71663005926257</v>
      </c>
    </row>
    <row r="91" spans="1:12" s="1" customFormat="1" ht="15.75" x14ac:dyDescent="0.25">
      <c r="A91" s="5">
        <v>81</v>
      </c>
      <c r="B91" s="5" t="s">
        <v>147</v>
      </c>
      <c r="C91" s="5" t="s">
        <v>6</v>
      </c>
      <c r="D91" s="7">
        <v>100</v>
      </c>
      <c r="E91" s="7" t="s">
        <v>2</v>
      </c>
      <c r="F91" s="7">
        <v>112</v>
      </c>
      <c r="G91" s="7">
        <f t="shared" si="3"/>
        <v>112</v>
      </c>
      <c r="H91" s="7" t="s">
        <v>111</v>
      </c>
      <c r="I91" s="23">
        <f>85*50/90</f>
        <v>47.222222222222221</v>
      </c>
      <c r="J91" s="23">
        <v>50</v>
      </c>
      <c r="K91" s="23">
        <f t="shared" si="4"/>
        <v>97.222222222222229</v>
      </c>
      <c r="L91" s="14">
        <f>($H$106/$G$106*G91)/100*K91</f>
        <v>596.79896646407371</v>
      </c>
    </row>
    <row r="92" spans="1:12" s="1" customFormat="1" ht="15.75" x14ac:dyDescent="0.25">
      <c r="A92" s="5">
        <v>82</v>
      </c>
      <c r="B92" s="5" t="s">
        <v>148</v>
      </c>
      <c r="C92" s="5" t="s">
        <v>6</v>
      </c>
      <c r="D92" s="7">
        <v>100</v>
      </c>
      <c r="E92" s="7" t="s">
        <v>2</v>
      </c>
      <c r="F92" s="7">
        <v>112</v>
      </c>
      <c r="G92" s="7">
        <f t="shared" si="3"/>
        <v>112</v>
      </c>
      <c r="H92" s="7" t="s">
        <v>3</v>
      </c>
      <c r="I92" s="23">
        <f>90*50/90</f>
        <v>50</v>
      </c>
      <c r="J92" s="23">
        <v>50</v>
      </c>
      <c r="K92" s="23">
        <f t="shared" si="4"/>
        <v>100</v>
      </c>
      <c r="L92" s="14">
        <f>($H$106/$G$106*G92)/100*K92</f>
        <v>613.85036550590439</v>
      </c>
    </row>
    <row r="93" spans="1:12" s="1" customFormat="1" ht="15.75" x14ac:dyDescent="0.25">
      <c r="A93" s="5">
        <v>83</v>
      </c>
      <c r="B93" s="5" t="s">
        <v>237</v>
      </c>
      <c r="C93" s="5" t="s">
        <v>6</v>
      </c>
      <c r="D93" s="7">
        <v>87.5</v>
      </c>
      <c r="E93" s="7" t="s">
        <v>2</v>
      </c>
      <c r="F93" s="7">
        <v>112</v>
      </c>
      <c r="G93" s="7">
        <f t="shared" si="3"/>
        <v>98</v>
      </c>
      <c r="H93" s="7" t="s">
        <v>26</v>
      </c>
      <c r="I93" s="23">
        <f>85*50/90</f>
        <v>47.222222222222221</v>
      </c>
      <c r="J93" s="23">
        <v>50</v>
      </c>
      <c r="K93" s="23">
        <f t="shared" si="4"/>
        <v>97.222222222222229</v>
      </c>
      <c r="L93" s="14">
        <f>($H$106/$G$106*G93)/100*K93</f>
        <v>522.1990956560644</v>
      </c>
    </row>
    <row r="94" spans="1:12" s="1" customFormat="1" ht="15.75" x14ac:dyDescent="0.25">
      <c r="A94" s="5">
        <v>84</v>
      </c>
      <c r="B94" s="5" t="s">
        <v>177</v>
      </c>
      <c r="C94" s="5" t="s">
        <v>6</v>
      </c>
      <c r="D94" s="7">
        <v>100</v>
      </c>
      <c r="E94" s="7" t="s">
        <v>2</v>
      </c>
      <c r="F94" s="7">
        <v>112</v>
      </c>
      <c r="G94" s="7">
        <f t="shared" si="3"/>
        <v>112</v>
      </c>
      <c r="H94" s="7" t="s">
        <v>26</v>
      </c>
      <c r="I94" s="23">
        <f>90*50/90</f>
        <v>50</v>
      </c>
      <c r="J94" s="23">
        <v>50</v>
      </c>
      <c r="K94" s="23">
        <f t="shared" si="4"/>
        <v>100</v>
      </c>
      <c r="L94" s="14">
        <f>($H$106/$G$106*G94)/100*K94</f>
        <v>613.85036550590439</v>
      </c>
    </row>
    <row r="95" spans="1:12" s="1" customFormat="1" ht="15.75" x14ac:dyDescent="0.25">
      <c r="A95" s="5">
        <v>85</v>
      </c>
      <c r="B95" s="5" t="s">
        <v>229</v>
      </c>
      <c r="C95" s="5" t="s">
        <v>6</v>
      </c>
      <c r="D95" s="7">
        <v>48</v>
      </c>
      <c r="E95" s="7" t="s">
        <v>2</v>
      </c>
      <c r="F95" s="7">
        <v>112</v>
      </c>
      <c r="G95" s="7">
        <f t="shared" si="3"/>
        <v>53.76</v>
      </c>
      <c r="H95" s="7" t="s">
        <v>4</v>
      </c>
      <c r="I95" s="23">
        <f>82*50/90</f>
        <v>45.555555555555557</v>
      </c>
      <c r="J95" s="23">
        <v>0</v>
      </c>
      <c r="K95" s="23">
        <f t="shared" si="4"/>
        <v>45.555555555555557</v>
      </c>
      <c r="L95" s="14">
        <f>($H$106/$G$106*G95)/100*K95</f>
        <v>134.2286132572911</v>
      </c>
    </row>
    <row r="96" spans="1:12" s="1" customFormat="1" ht="15.75" x14ac:dyDescent="0.25">
      <c r="A96" s="5">
        <v>86</v>
      </c>
      <c r="B96" s="5" t="s">
        <v>149</v>
      </c>
      <c r="C96" s="5" t="s">
        <v>6</v>
      </c>
      <c r="D96" s="7">
        <v>100</v>
      </c>
      <c r="E96" s="7" t="s">
        <v>2</v>
      </c>
      <c r="F96" s="7">
        <v>112</v>
      </c>
      <c r="G96" s="7">
        <f t="shared" si="3"/>
        <v>112</v>
      </c>
      <c r="H96" s="7" t="s">
        <v>26</v>
      </c>
      <c r="I96" s="23">
        <f>90*50/90</f>
        <v>50</v>
      </c>
      <c r="J96" s="23">
        <v>15</v>
      </c>
      <c r="K96" s="23">
        <f t="shared" si="4"/>
        <v>65</v>
      </c>
      <c r="L96" s="14">
        <f>($H$106/$G$106*G96)/100*K96</f>
        <v>399.00273757883781</v>
      </c>
    </row>
    <row r="97" spans="1:19" s="1" customFormat="1" ht="15.75" x14ac:dyDescent="0.25">
      <c r="A97" s="5">
        <v>87</v>
      </c>
      <c r="B97" s="5" t="s">
        <v>63</v>
      </c>
      <c r="C97" s="5" t="s">
        <v>6</v>
      </c>
      <c r="D97" s="7">
        <v>100</v>
      </c>
      <c r="E97" s="7" t="s">
        <v>2</v>
      </c>
      <c r="F97" s="7">
        <v>112</v>
      </c>
      <c r="G97" s="7">
        <f t="shared" si="3"/>
        <v>112</v>
      </c>
      <c r="H97" s="7" t="s">
        <v>110</v>
      </c>
      <c r="I97" s="23">
        <f>85*50/100</f>
        <v>42.5</v>
      </c>
      <c r="J97" s="23">
        <v>50</v>
      </c>
      <c r="K97" s="23">
        <f t="shared" si="4"/>
        <v>92.5</v>
      </c>
      <c r="L97" s="14">
        <f>($H$106/$G$106*G97)/100*K97</f>
        <v>567.81158809296153</v>
      </c>
    </row>
    <row r="98" spans="1:19" s="1" customFormat="1" ht="15.75" x14ac:dyDescent="0.25">
      <c r="A98" s="5">
        <v>88</v>
      </c>
      <c r="B98" s="5" t="s">
        <v>48</v>
      </c>
      <c r="C98" s="5" t="s">
        <v>7</v>
      </c>
      <c r="D98" s="7">
        <v>66.67</v>
      </c>
      <c r="E98" s="7" t="s">
        <v>12</v>
      </c>
      <c r="F98" s="7">
        <v>115</v>
      </c>
      <c r="G98" s="7">
        <f t="shared" si="3"/>
        <v>76.670500000000004</v>
      </c>
      <c r="H98" s="7" t="s">
        <v>3</v>
      </c>
      <c r="I98" s="23">
        <f>90*50/90</f>
        <v>50</v>
      </c>
      <c r="J98" s="23">
        <v>15</v>
      </c>
      <c r="K98" s="23">
        <f t="shared" si="4"/>
        <v>65</v>
      </c>
      <c r="L98" s="14">
        <f>($H$106/$G$106*G98)/100*K98</f>
        <v>273.14053028159191</v>
      </c>
    </row>
    <row r="99" spans="1:19" s="1" customFormat="1" ht="15.75" x14ac:dyDescent="0.25">
      <c r="A99" s="5">
        <v>89</v>
      </c>
      <c r="B99" s="5" t="s">
        <v>150</v>
      </c>
      <c r="C99" s="5" t="s">
        <v>6</v>
      </c>
      <c r="D99" s="7">
        <v>33.33</v>
      </c>
      <c r="E99" s="7" t="s">
        <v>2</v>
      </c>
      <c r="F99" s="7">
        <v>112</v>
      </c>
      <c r="G99" s="7">
        <f t="shared" si="3"/>
        <v>37.329599999999999</v>
      </c>
      <c r="H99" s="7" t="s">
        <v>111</v>
      </c>
      <c r="I99" s="23">
        <f>85*50/90</f>
        <v>47.222222222222221</v>
      </c>
      <c r="J99" s="23">
        <v>50</v>
      </c>
      <c r="K99" s="23">
        <f t="shared" si="4"/>
        <v>97.222222222222229</v>
      </c>
      <c r="L99" s="14">
        <f>($H$106/$G$106*G99)/100*K99</f>
        <v>198.91309552247574</v>
      </c>
    </row>
    <row r="100" spans="1:19" s="1" customFormat="1" ht="15.75" x14ac:dyDescent="0.25">
      <c r="A100" s="5">
        <v>90</v>
      </c>
      <c r="B100" s="5" t="s">
        <v>230</v>
      </c>
      <c r="C100" s="5" t="s">
        <v>6</v>
      </c>
      <c r="D100" s="7">
        <v>35.83</v>
      </c>
      <c r="E100" s="7" t="s">
        <v>2</v>
      </c>
      <c r="F100" s="7">
        <v>112</v>
      </c>
      <c r="G100" s="7">
        <f t="shared" si="3"/>
        <v>40.129600000000003</v>
      </c>
      <c r="H100" s="7" t="s">
        <v>28</v>
      </c>
      <c r="I100" s="23">
        <f>90*50/90</f>
        <v>50</v>
      </c>
      <c r="J100" s="23">
        <v>50</v>
      </c>
      <c r="K100" s="23">
        <f t="shared" si="4"/>
        <v>100</v>
      </c>
      <c r="L100" s="14">
        <f>($H$106/$G$106*G100)/100*K100</f>
        <v>219.94258596076554</v>
      </c>
    </row>
    <row r="101" spans="1:19" s="1" customFormat="1" ht="15.75" x14ac:dyDescent="0.25">
      <c r="A101" s="5">
        <v>91</v>
      </c>
      <c r="B101" s="5" t="s">
        <v>178</v>
      </c>
      <c r="C101" s="5" t="s">
        <v>6</v>
      </c>
      <c r="D101" s="7">
        <v>100</v>
      </c>
      <c r="E101" s="7" t="s">
        <v>2</v>
      </c>
      <c r="F101" s="7">
        <v>112</v>
      </c>
      <c r="G101" s="7">
        <f t="shared" si="3"/>
        <v>112</v>
      </c>
      <c r="H101" s="7" t="s">
        <v>26</v>
      </c>
      <c r="I101" s="23">
        <f>90*50/90</f>
        <v>50</v>
      </c>
      <c r="J101" s="23">
        <v>40</v>
      </c>
      <c r="K101" s="23">
        <f t="shared" si="4"/>
        <v>90</v>
      </c>
      <c r="L101" s="14">
        <f>($H$106/$G$106*G101)/100*K101</f>
        <v>552.46532895531391</v>
      </c>
    </row>
    <row r="102" spans="1:19" s="1" customFormat="1" ht="15.75" x14ac:dyDescent="0.25">
      <c r="A102" s="5">
        <v>92</v>
      </c>
      <c r="B102" s="5" t="s">
        <v>151</v>
      </c>
      <c r="C102" s="5" t="s">
        <v>6</v>
      </c>
      <c r="D102" s="7">
        <v>100</v>
      </c>
      <c r="E102" s="7" t="s">
        <v>2</v>
      </c>
      <c r="F102" s="7">
        <v>112</v>
      </c>
      <c r="G102" s="7">
        <f t="shared" si="3"/>
        <v>112</v>
      </c>
      <c r="H102" s="7" t="s">
        <v>102</v>
      </c>
      <c r="I102" s="23">
        <f>94*50/100</f>
        <v>47</v>
      </c>
      <c r="J102" s="23">
        <v>25</v>
      </c>
      <c r="K102" s="23">
        <f t="shared" si="4"/>
        <v>72</v>
      </c>
      <c r="L102" s="14">
        <f>($H$106/$G$106*G102)/100*K102</f>
        <v>441.9722631642511</v>
      </c>
    </row>
    <row r="103" spans="1:19" s="1" customFormat="1" ht="15.75" x14ac:dyDescent="0.25">
      <c r="A103" s="5">
        <v>93</v>
      </c>
      <c r="B103" s="5" t="s">
        <v>74</v>
      </c>
      <c r="C103" s="5" t="s">
        <v>225</v>
      </c>
      <c r="D103" s="7">
        <v>91.67</v>
      </c>
      <c r="E103" s="7" t="s">
        <v>2</v>
      </c>
      <c r="F103" s="7">
        <v>112</v>
      </c>
      <c r="G103" s="7">
        <f t="shared" si="3"/>
        <v>102.67040000000001</v>
      </c>
      <c r="H103" s="7" t="s">
        <v>105</v>
      </c>
      <c r="I103" s="23">
        <f>96*50/100</f>
        <v>48</v>
      </c>
      <c r="J103" s="23">
        <v>50</v>
      </c>
      <c r="K103" s="23">
        <f t="shared" si="4"/>
        <v>98</v>
      </c>
      <c r="L103" s="14">
        <f>($H$106/$G$106*G103)/100*K103</f>
        <v>551.46229745807727</v>
      </c>
    </row>
    <row r="104" spans="1:19" s="1" customFormat="1" ht="15.75" x14ac:dyDescent="0.25">
      <c r="A104" s="5">
        <v>94</v>
      </c>
      <c r="B104" s="5" t="s">
        <v>231</v>
      </c>
      <c r="C104" s="5" t="s">
        <v>6</v>
      </c>
      <c r="D104" s="7">
        <v>41.67</v>
      </c>
      <c r="E104" s="7" t="s">
        <v>2</v>
      </c>
      <c r="F104" s="7">
        <v>112</v>
      </c>
      <c r="G104" s="7">
        <f t="shared" si="3"/>
        <v>46.670400000000001</v>
      </c>
      <c r="H104" s="7" t="s">
        <v>26</v>
      </c>
      <c r="I104" s="23">
        <f>89*50/90</f>
        <v>49.444444444444443</v>
      </c>
      <c r="J104" s="23">
        <v>50</v>
      </c>
      <c r="K104" s="23">
        <f t="shared" si="4"/>
        <v>99.444444444444443</v>
      </c>
      <c r="L104" s="14">
        <f>($H$106/$G$106*G104)/100*K104</f>
        <v>254.37038371016419</v>
      </c>
    </row>
    <row r="105" spans="1:19" s="1" customFormat="1" ht="15.75" x14ac:dyDescent="0.25">
      <c r="A105" s="5"/>
      <c r="B105" s="5"/>
      <c r="C105" s="5"/>
      <c r="D105" s="7"/>
      <c r="E105" s="7"/>
      <c r="F105" s="7"/>
      <c r="G105" s="7"/>
      <c r="H105" s="7"/>
      <c r="I105" s="23"/>
      <c r="J105" s="23"/>
      <c r="K105" s="23"/>
      <c r="L105" s="14"/>
    </row>
    <row r="106" spans="1:19" s="9" customFormat="1" ht="15.75" x14ac:dyDescent="0.25">
      <c r="A106" s="8"/>
      <c r="B106" s="8"/>
      <c r="C106" s="8"/>
      <c r="D106" s="20">
        <f>SUM(D11:D105)</f>
        <v>7774.4900000000016</v>
      </c>
      <c r="E106" s="13"/>
      <c r="F106" s="20">
        <f>SUM(F11:F105)</f>
        <v>10551</v>
      </c>
      <c r="G106" s="20">
        <f>SUM(G11:G105)</f>
        <v>8725.9012000000002</v>
      </c>
      <c r="H106" s="21">
        <f>G274/G272*G106</f>
        <v>47824.978937396518</v>
      </c>
      <c r="I106" s="31"/>
      <c r="J106" s="31"/>
      <c r="K106" s="31"/>
      <c r="L106" s="17"/>
      <c r="M106" s="13"/>
      <c r="N106" s="13"/>
      <c r="O106" s="13"/>
      <c r="P106" s="13"/>
      <c r="Q106" s="13"/>
      <c r="R106" s="13"/>
      <c r="S106" s="13"/>
    </row>
    <row r="107" spans="1:19" s="9" customFormat="1" ht="15.75" x14ac:dyDescent="0.25">
      <c r="A107" s="8"/>
      <c r="B107" s="8"/>
      <c r="C107" s="8"/>
      <c r="D107" s="13"/>
      <c r="E107" s="13"/>
      <c r="F107" s="13"/>
      <c r="G107" s="13"/>
      <c r="H107" s="13"/>
      <c r="I107" s="32">
        <f>SUM(I11:I105)</f>
        <v>4422.6111111111113</v>
      </c>
      <c r="J107" s="31"/>
      <c r="K107" s="32">
        <f>SUM(K11:K105)</f>
        <v>7792.6111111111122</v>
      </c>
      <c r="L107" s="17"/>
      <c r="M107" s="13"/>
      <c r="N107" s="13"/>
      <c r="O107" s="13"/>
      <c r="P107" s="13"/>
      <c r="Q107" s="13"/>
      <c r="R107" s="13"/>
      <c r="S107" s="13"/>
    </row>
    <row r="108" spans="1:19" s="9" customFormat="1" ht="15.75" x14ac:dyDescent="0.25">
      <c r="A108" s="8"/>
      <c r="B108" s="8"/>
      <c r="C108" s="8"/>
      <c r="D108" s="13"/>
      <c r="E108" s="13"/>
      <c r="F108" s="13"/>
      <c r="G108" s="13"/>
      <c r="H108" s="13"/>
      <c r="I108" s="31">
        <f>50*94</f>
        <v>4700</v>
      </c>
      <c r="J108" s="31"/>
      <c r="K108" s="31"/>
      <c r="L108" s="17"/>
      <c r="M108" s="13"/>
      <c r="N108" s="13"/>
      <c r="O108" s="13"/>
      <c r="P108" s="13"/>
      <c r="Q108" s="13"/>
      <c r="R108" s="13"/>
      <c r="S108" s="13"/>
    </row>
    <row r="109" spans="1:19" s="9" customFormat="1" ht="15.75" x14ac:dyDescent="0.25">
      <c r="A109" s="8"/>
      <c r="B109" s="8"/>
      <c r="C109" s="8"/>
      <c r="D109" s="13"/>
      <c r="E109" s="13"/>
      <c r="F109" s="13"/>
      <c r="G109" s="13"/>
      <c r="H109" s="13"/>
      <c r="I109" s="31"/>
      <c r="J109" s="31"/>
      <c r="K109" s="31"/>
      <c r="L109" s="21">
        <f>SUM(L11:L104)</f>
        <v>39306.393991544661</v>
      </c>
      <c r="M109" s="13"/>
      <c r="N109" s="13"/>
      <c r="O109" s="13"/>
      <c r="P109" s="13"/>
      <c r="Q109" s="13"/>
      <c r="R109" s="13"/>
      <c r="S109" s="13"/>
    </row>
    <row r="110" spans="1:19" s="9" customFormat="1" ht="15.75" x14ac:dyDescent="0.25">
      <c r="A110" s="8"/>
      <c r="B110" s="8"/>
      <c r="C110" s="8"/>
      <c r="D110" s="13"/>
      <c r="E110" s="13"/>
      <c r="F110" s="13"/>
      <c r="G110" s="13"/>
      <c r="H110" s="13"/>
      <c r="I110" s="31"/>
      <c r="J110" s="31"/>
      <c r="K110" s="31"/>
      <c r="L110" s="17">
        <f>H106-L109</f>
        <v>8518.5849458518569</v>
      </c>
      <c r="M110" s="13"/>
      <c r="N110" s="13"/>
      <c r="O110" s="13"/>
      <c r="P110" s="13"/>
      <c r="Q110" s="13"/>
      <c r="R110" s="13"/>
      <c r="S110" s="13"/>
    </row>
    <row r="111" spans="1:19" s="9" customFormat="1" ht="15.75" x14ac:dyDescent="0.25">
      <c r="A111" s="8"/>
      <c r="B111" s="8"/>
      <c r="C111" s="8"/>
      <c r="D111" s="13"/>
      <c r="E111" s="7"/>
      <c r="F111" s="7"/>
      <c r="G111" s="7"/>
      <c r="H111" s="7"/>
      <c r="I111" s="23"/>
      <c r="J111" s="23"/>
      <c r="K111" s="23"/>
      <c r="L111" s="14"/>
    </row>
    <row r="112" spans="1:19" s="1" customFormat="1" ht="15.75" x14ac:dyDescent="0.25">
      <c r="A112" s="5"/>
      <c r="B112" s="5"/>
      <c r="C112" s="5"/>
      <c r="D112" s="7"/>
      <c r="E112" s="7"/>
      <c r="F112" s="7"/>
      <c r="G112" s="10" t="s">
        <v>35</v>
      </c>
      <c r="H112" s="10" t="s">
        <v>37</v>
      </c>
      <c r="I112" s="29" t="s">
        <v>39</v>
      </c>
      <c r="J112" s="29" t="s">
        <v>39</v>
      </c>
      <c r="K112" s="29" t="s">
        <v>121</v>
      </c>
      <c r="L112" s="15" t="s">
        <v>41</v>
      </c>
    </row>
    <row r="113" spans="1:12" s="12" customFormat="1" ht="15.75" x14ac:dyDescent="0.25">
      <c r="A113" s="11"/>
      <c r="B113" s="11"/>
      <c r="C113" s="2" t="s">
        <v>8</v>
      </c>
      <c r="D113" s="3" t="s">
        <v>9</v>
      </c>
      <c r="E113" s="3" t="s">
        <v>10</v>
      </c>
      <c r="F113" s="3" t="s">
        <v>34</v>
      </c>
      <c r="G113" s="3" t="s">
        <v>36</v>
      </c>
      <c r="H113" s="3" t="s">
        <v>38</v>
      </c>
      <c r="I113" s="30" t="s">
        <v>99</v>
      </c>
      <c r="J113" s="30" t="s">
        <v>100</v>
      </c>
      <c r="K113" s="30" t="s">
        <v>101</v>
      </c>
      <c r="L113" s="16" t="s">
        <v>42</v>
      </c>
    </row>
    <row r="114" spans="1:12" s="1" customFormat="1" ht="15.75" x14ac:dyDescent="0.25">
      <c r="A114" s="5"/>
      <c r="B114" s="5"/>
      <c r="C114" s="5"/>
      <c r="D114" s="7"/>
      <c r="E114" s="7"/>
      <c r="F114" s="7"/>
      <c r="G114" s="7"/>
      <c r="H114" s="7"/>
      <c r="I114" s="23"/>
      <c r="J114" s="23"/>
      <c r="K114" s="23"/>
      <c r="L114" s="14"/>
    </row>
    <row r="115" spans="1:12" s="1" customFormat="1" ht="15.75" x14ac:dyDescent="0.25">
      <c r="A115" s="5">
        <v>1</v>
      </c>
      <c r="B115" s="5" t="s">
        <v>176</v>
      </c>
      <c r="C115" s="5" t="s">
        <v>6</v>
      </c>
      <c r="D115" s="7">
        <v>100</v>
      </c>
      <c r="E115" s="7" t="s">
        <v>1</v>
      </c>
      <c r="F115" s="7">
        <v>119</v>
      </c>
      <c r="G115" s="7">
        <f t="shared" ref="G115:G132" si="5">F115*D115/100</f>
        <v>119</v>
      </c>
      <c r="H115" s="7" t="s">
        <v>105</v>
      </c>
      <c r="I115" s="23">
        <f>92*50/100</f>
        <v>46</v>
      </c>
      <c r="J115" s="23">
        <v>0</v>
      </c>
      <c r="K115" s="23">
        <f>SUM(I115:J115)</f>
        <v>46</v>
      </c>
      <c r="L115" s="14">
        <f>($H$106/$G$106*G115)/100*K115</f>
        <v>300.01936614101072</v>
      </c>
    </row>
    <row r="116" spans="1:12" s="1" customFormat="1" ht="15.75" x14ac:dyDescent="0.25">
      <c r="A116" s="5">
        <v>2</v>
      </c>
      <c r="B116" s="5" t="s">
        <v>78</v>
      </c>
      <c r="C116" s="5" t="s">
        <v>6</v>
      </c>
      <c r="D116" s="7">
        <v>100</v>
      </c>
      <c r="E116" s="7" t="s">
        <v>15</v>
      </c>
      <c r="F116" s="7">
        <v>125</v>
      </c>
      <c r="G116" s="7">
        <f t="shared" si="5"/>
        <v>125</v>
      </c>
      <c r="H116" s="7" t="s">
        <v>108</v>
      </c>
      <c r="I116" s="23">
        <f>100*50/100</f>
        <v>50</v>
      </c>
      <c r="J116" s="23">
        <v>50</v>
      </c>
      <c r="K116" s="23">
        <f t="shared" ref="K116:K130" si="6">SUM(I116:J116)</f>
        <v>100</v>
      </c>
      <c r="L116" s="14">
        <f>($H$106/$G$106*G116)/100*K116</f>
        <v>685.10085435926828</v>
      </c>
    </row>
    <row r="117" spans="1:12" s="1" customFormat="1" ht="16.5" customHeight="1" x14ac:dyDescent="0.25">
      <c r="A117" s="5">
        <v>3</v>
      </c>
      <c r="B117" s="5" t="s">
        <v>210</v>
      </c>
      <c r="C117" s="5" t="s">
        <v>6</v>
      </c>
      <c r="D117" s="7">
        <v>63</v>
      </c>
      <c r="E117" s="7" t="s">
        <v>1</v>
      </c>
      <c r="F117" s="7">
        <v>119</v>
      </c>
      <c r="G117" s="7">
        <f t="shared" si="5"/>
        <v>74.97</v>
      </c>
      <c r="H117" s="7" t="s">
        <v>105</v>
      </c>
      <c r="I117" s="23">
        <f>90*50/100</f>
        <v>45</v>
      </c>
      <c r="J117" s="23">
        <v>40</v>
      </c>
      <c r="K117" s="23">
        <f t="shared" si="6"/>
        <v>85</v>
      </c>
      <c r="L117" s="14">
        <f>($H$106/$G$106*G117)/100*K117</f>
        <v>349.26167514893751</v>
      </c>
    </row>
    <row r="118" spans="1:12" s="1" customFormat="1" ht="15.75" x14ac:dyDescent="0.25">
      <c r="A118" s="5">
        <v>4</v>
      </c>
      <c r="B118" s="5" t="s">
        <v>81</v>
      </c>
      <c r="C118" s="5" t="s">
        <v>6</v>
      </c>
      <c r="D118" s="7">
        <v>100</v>
      </c>
      <c r="E118" s="7" t="s">
        <v>14</v>
      </c>
      <c r="F118" s="7">
        <v>129</v>
      </c>
      <c r="G118" s="7">
        <f t="shared" si="5"/>
        <v>129</v>
      </c>
      <c r="H118" s="7" t="s">
        <v>105</v>
      </c>
      <c r="I118" s="23">
        <f>97*50/100</f>
        <v>48.5</v>
      </c>
      <c r="J118" s="23">
        <v>25</v>
      </c>
      <c r="K118" s="23">
        <f t="shared" si="6"/>
        <v>73.5</v>
      </c>
      <c r="L118" s="14">
        <f>($H$106/$G$106*G118)/100*K118</f>
        <v>519.66270004859211</v>
      </c>
    </row>
    <row r="119" spans="1:12" s="1" customFormat="1" ht="15.75" x14ac:dyDescent="0.25">
      <c r="A119" s="5">
        <v>5</v>
      </c>
      <c r="B119" s="5" t="s">
        <v>138</v>
      </c>
      <c r="C119" s="5" t="s">
        <v>6</v>
      </c>
      <c r="D119" s="7">
        <v>79</v>
      </c>
      <c r="E119" s="7" t="s">
        <v>1</v>
      </c>
      <c r="F119" s="7">
        <v>119</v>
      </c>
      <c r="G119" s="7">
        <f t="shared" si="5"/>
        <v>94.01</v>
      </c>
      <c r="H119" s="7" t="s">
        <v>108</v>
      </c>
      <c r="I119" s="23">
        <f>98*50/100</f>
        <v>49</v>
      </c>
      <c r="J119" s="23">
        <v>50</v>
      </c>
      <c r="K119" s="23">
        <f t="shared" si="6"/>
        <v>99</v>
      </c>
      <c r="L119" s="14">
        <f>($H$106/$G$106*G119)/100*K119</f>
        <v>510.09814404105333</v>
      </c>
    </row>
    <row r="120" spans="1:12" s="1" customFormat="1" ht="15.75" x14ac:dyDescent="0.25">
      <c r="A120" s="5">
        <v>6</v>
      </c>
      <c r="B120" s="5" t="s">
        <v>139</v>
      </c>
      <c r="C120" s="5" t="s">
        <v>6</v>
      </c>
      <c r="D120" s="7">
        <v>100</v>
      </c>
      <c r="E120" s="7" t="s">
        <v>1</v>
      </c>
      <c r="F120" s="7">
        <v>119</v>
      </c>
      <c r="G120" s="7">
        <f t="shared" si="5"/>
        <v>119</v>
      </c>
      <c r="H120" s="7" t="s">
        <v>108</v>
      </c>
      <c r="I120" s="23">
        <f>93*50/100</f>
        <v>46.5</v>
      </c>
      <c r="J120" s="23">
        <v>50</v>
      </c>
      <c r="K120" s="23">
        <f t="shared" si="6"/>
        <v>96.5</v>
      </c>
      <c r="L120" s="14">
        <f>($H$106/$G$106*G120)/100*K120</f>
        <v>629.38845288277253</v>
      </c>
    </row>
    <row r="121" spans="1:12" s="1" customFormat="1" ht="15.75" x14ac:dyDescent="0.25">
      <c r="A121" s="5">
        <v>7</v>
      </c>
      <c r="B121" s="5" t="s">
        <v>191</v>
      </c>
      <c r="C121" s="5" t="s">
        <v>6</v>
      </c>
      <c r="D121" s="7">
        <v>100</v>
      </c>
      <c r="E121" s="7" t="s">
        <v>1</v>
      </c>
      <c r="F121" s="7">
        <v>119</v>
      </c>
      <c r="G121" s="7">
        <f t="shared" si="5"/>
        <v>119</v>
      </c>
      <c r="H121" s="7" t="s">
        <v>105</v>
      </c>
      <c r="I121" s="23">
        <f>93*50/100</f>
        <v>46.5</v>
      </c>
      <c r="J121" s="23">
        <v>50</v>
      </c>
      <c r="K121" s="23">
        <f t="shared" si="6"/>
        <v>96.5</v>
      </c>
      <c r="L121" s="14">
        <f>($H$106/$G$106*G121)/100*K121</f>
        <v>629.38845288277253</v>
      </c>
    </row>
    <row r="122" spans="1:12" s="1" customFormat="1" ht="15.75" x14ac:dyDescent="0.25">
      <c r="A122" s="5">
        <v>8</v>
      </c>
      <c r="B122" s="5" t="s">
        <v>82</v>
      </c>
      <c r="C122" s="5" t="s">
        <v>7</v>
      </c>
      <c r="D122" s="7">
        <v>61</v>
      </c>
      <c r="E122" s="7" t="s">
        <v>14</v>
      </c>
      <c r="F122" s="7">
        <v>129</v>
      </c>
      <c r="G122" s="7">
        <f t="shared" si="5"/>
        <v>78.69</v>
      </c>
      <c r="H122" s="7" t="s">
        <v>108</v>
      </c>
      <c r="I122" s="23">
        <f>95*50/100</f>
        <v>47.5</v>
      </c>
      <c r="J122" s="23">
        <v>50</v>
      </c>
      <c r="K122" s="23">
        <f t="shared" si="6"/>
        <v>97.5</v>
      </c>
      <c r="L122" s="14">
        <f>($H$106/$G$106*G122)/100*K122</f>
        <v>420.50257259034038</v>
      </c>
    </row>
    <row r="123" spans="1:12" s="1" customFormat="1" ht="15.75" x14ac:dyDescent="0.25">
      <c r="A123" s="5">
        <v>9</v>
      </c>
      <c r="B123" s="5" t="s">
        <v>213</v>
      </c>
      <c r="C123" s="5" t="s">
        <v>6</v>
      </c>
      <c r="D123" s="7">
        <v>100</v>
      </c>
      <c r="E123" s="7" t="s">
        <v>1</v>
      </c>
      <c r="F123" s="7">
        <v>119</v>
      </c>
      <c r="G123" s="7">
        <f t="shared" si="5"/>
        <v>119</v>
      </c>
      <c r="H123" s="7" t="s">
        <v>112</v>
      </c>
      <c r="I123" s="23">
        <f>93*50/100</f>
        <v>46.5</v>
      </c>
      <c r="J123" s="23">
        <v>50</v>
      </c>
      <c r="K123" s="23">
        <f t="shared" si="6"/>
        <v>96.5</v>
      </c>
      <c r="L123" s="14">
        <f>($H$106/$G$106*G123)/100*K123</f>
        <v>629.38845288277253</v>
      </c>
    </row>
    <row r="124" spans="1:12" s="1" customFormat="1" ht="15.75" x14ac:dyDescent="0.25">
      <c r="A124" s="5">
        <v>10</v>
      </c>
      <c r="B124" s="5" t="s">
        <v>77</v>
      </c>
      <c r="C124" s="5" t="s">
        <v>6</v>
      </c>
      <c r="D124" s="7">
        <v>100</v>
      </c>
      <c r="E124" s="7" t="s">
        <v>14</v>
      </c>
      <c r="F124" s="7">
        <v>129</v>
      </c>
      <c r="G124" s="7">
        <f t="shared" si="5"/>
        <v>129</v>
      </c>
      <c r="H124" s="7" t="s">
        <v>112</v>
      </c>
      <c r="I124" s="23">
        <f>97*50/100</f>
        <v>48.5</v>
      </c>
      <c r="J124" s="23">
        <v>50</v>
      </c>
      <c r="K124" s="23">
        <f t="shared" si="6"/>
        <v>98.5</v>
      </c>
      <c r="L124" s="14">
        <f>($H$106/$G$106*G124)/100*K124</f>
        <v>696.41872047328332</v>
      </c>
    </row>
    <row r="125" spans="1:12" s="1" customFormat="1" ht="15.75" x14ac:dyDescent="0.25">
      <c r="A125" s="5">
        <v>11</v>
      </c>
      <c r="B125" s="5" t="s">
        <v>79</v>
      </c>
      <c r="C125" s="5" t="s">
        <v>6</v>
      </c>
      <c r="D125" s="7">
        <v>100</v>
      </c>
      <c r="E125" s="7" t="s">
        <v>16</v>
      </c>
      <c r="F125" s="7">
        <v>134</v>
      </c>
      <c r="G125" s="7">
        <f t="shared" si="5"/>
        <v>134</v>
      </c>
      <c r="H125" s="7" t="s">
        <v>108</v>
      </c>
      <c r="I125" s="23">
        <f>100*50/100</f>
        <v>50</v>
      </c>
      <c r="J125" s="23">
        <v>15</v>
      </c>
      <c r="K125" s="23">
        <f t="shared" si="6"/>
        <v>65</v>
      </c>
      <c r="L125" s="14">
        <f>($H$106/$G$106*G125)/100*K125</f>
        <v>477.37827531753811</v>
      </c>
    </row>
    <row r="126" spans="1:12" s="1" customFormat="1" ht="15.75" x14ac:dyDescent="0.25">
      <c r="A126" s="5">
        <v>12</v>
      </c>
      <c r="B126" s="5" t="s">
        <v>83</v>
      </c>
      <c r="C126" s="5" t="s">
        <v>6</v>
      </c>
      <c r="D126" s="7">
        <v>100</v>
      </c>
      <c r="E126" s="7" t="s">
        <v>14</v>
      </c>
      <c r="F126" s="7">
        <v>129</v>
      </c>
      <c r="G126" s="7">
        <f t="shared" si="5"/>
        <v>129</v>
      </c>
      <c r="H126" s="7" t="s">
        <v>105</v>
      </c>
      <c r="I126" s="23">
        <f>97*50/100</f>
        <v>48.5</v>
      </c>
      <c r="J126" s="23">
        <v>40</v>
      </c>
      <c r="K126" s="23">
        <f t="shared" si="6"/>
        <v>88.5</v>
      </c>
      <c r="L126" s="14">
        <f>($H$106/$G$106*G126)/100*K126</f>
        <v>625.71631230340688</v>
      </c>
    </row>
    <row r="127" spans="1:12" s="1" customFormat="1" ht="15.75" x14ac:dyDescent="0.25">
      <c r="A127" s="5">
        <v>13</v>
      </c>
      <c r="B127" s="5" t="s">
        <v>152</v>
      </c>
      <c r="C127" s="5" t="s">
        <v>6</v>
      </c>
      <c r="D127" s="7">
        <v>100</v>
      </c>
      <c r="E127" s="7" t="s">
        <v>1</v>
      </c>
      <c r="F127" s="7">
        <v>119</v>
      </c>
      <c r="G127" s="7">
        <f t="shared" si="5"/>
        <v>119</v>
      </c>
      <c r="H127" s="7" t="s">
        <v>105</v>
      </c>
      <c r="I127" s="23">
        <f>99*50/100</f>
        <v>49.5</v>
      </c>
      <c r="J127" s="23">
        <v>25</v>
      </c>
      <c r="K127" s="23">
        <f t="shared" si="6"/>
        <v>74.5</v>
      </c>
      <c r="L127" s="14">
        <f>($H$106/$G$106*G127)/100*K127</f>
        <v>485.90092994576742</v>
      </c>
    </row>
    <row r="128" spans="1:12" s="1" customFormat="1" ht="15.75" x14ac:dyDescent="0.25">
      <c r="A128" s="5">
        <v>14</v>
      </c>
      <c r="B128" s="5" t="s">
        <v>80</v>
      </c>
      <c r="C128" s="5" t="s">
        <v>6</v>
      </c>
      <c r="D128" s="7">
        <v>100</v>
      </c>
      <c r="E128" s="7" t="s">
        <v>1</v>
      </c>
      <c r="F128" s="7">
        <v>119</v>
      </c>
      <c r="G128" s="7">
        <f t="shared" si="5"/>
        <v>119</v>
      </c>
      <c r="H128" s="7" t="s">
        <v>112</v>
      </c>
      <c r="I128" s="23">
        <f>97*50/100</f>
        <v>48.5</v>
      </c>
      <c r="J128" s="23">
        <v>5</v>
      </c>
      <c r="K128" s="23">
        <f t="shared" si="6"/>
        <v>53.5</v>
      </c>
      <c r="L128" s="14">
        <f>($H$106/$G$106*G128)/100*K128</f>
        <v>348.93556714226247</v>
      </c>
    </row>
    <row r="129" spans="1:12" s="1" customFormat="1" ht="15.75" x14ac:dyDescent="0.25">
      <c r="A129" s="5">
        <v>15</v>
      </c>
      <c r="B129" s="5" t="s">
        <v>84</v>
      </c>
      <c r="C129" s="5" t="s">
        <v>7</v>
      </c>
      <c r="D129" s="7">
        <v>66.67</v>
      </c>
      <c r="E129" s="7" t="s">
        <v>1</v>
      </c>
      <c r="F129" s="7">
        <v>119</v>
      </c>
      <c r="G129" s="7">
        <f t="shared" si="5"/>
        <v>79.337299999999999</v>
      </c>
      <c r="H129" s="7" t="s">
        <v>112</v>
      </c>
      <c r="I129" s="23">
        <f>94*50/100</f>
        <v>47</v>
      </c>
      <c r="J129" s="23">
        <v>5</v>
      </c>
      <c r="K129" s="23">
        <f t="shared" si="6"/>
        <v>52</v>
      </c>
      <c r="L129" s="14">
        <f>($H$106/$G$106*G129)/100*K129</f>
        <v>226.11285637223952</v>
      </c>
    </row>
    <row r="130" spans="1:12" s="1" customFormat="1" ht="15.75" x14ac:dyDescent="0.25">
      <c r="A130" s="5">
        <v>16</v>
      </c>
      <c r="B130" s="5" t="s">
        <v>228</v>
      </c>
      <c r="C130" s="5" t="s">
        <v>6</v>
      </c>
      <c r="D130" s="7">
        <v>100</v>
      </c>
      <c r="E130" s="7" t="s">
        <v>1</v>
      </c>
      <c r="F130" s="7">
        <v>119</v>
      </c>
      <c r="G130" s="7">
        <f t="shared" si="5"/>
        <v>119</v>
      </c>
      <c r="H130" s="7" t="s">
        <v>108</v>
      </c>
      <c r="I130" s="23">
        <f>87*50/100</f>
        <v>43.5</v>
      </c>
      <c r="J130" s="23">
        <v>50</v>
      </c>
      <c r="K130" s="23">
        <f t="shared" si="6"/>
        <v>93.5</v>
      </c>
      <c r="L130" s="14">
        <f>($H$106/$G$106*G130)/100*K130</f>
        <v>609.8219724822718</v>
      </c>
    </row>
    <row r="131" spans="1:12" s="1" customFormat="1" ht="15.75" x14ac:dyDescent="0.25">
      <c r="A131" s="5">
        <v>17</v>
      </c>
      <c r="B131" s="5" t="s">
        <v>165</v>
      </c>
      <c r="C131" s="5" t="s">
        <v>6</v>
      </c>
      <c r="D131" s="7">
        <v>70.83</v>
      </c>
      <c r="E131" s="7" t="s">
        <v>1</v>
      </c>
      <c r="F131" s="7">
        <v>119</v>
      </c>
      <c r="G131" s="7">
        <f t="shared" si="5"/>
        <v>84.287700000000001</v>
      </c>
      <c r="H131" s="7" t="s">
        <v>112</v>
      </c>
      <c r="I131" s="23">
        <f>94*50/100</f>
        <v>47</v>
      </c>
      <c r="J131" s="23">
        <v>50</v>
      </c>
      <c r="K131" s="23">
        <f>SUM(I130:J130)</f>
        <v>93.5</v>
      </c>
      <c r="L131" s="14">
        <f>($H$106/$G$106*G131)/100*K131</f>
        <v>431.93690310919311</v>
      </c>
    </row>
    <row r="132" spans="1:12" s="1" customFormat="1" ht="15.75" x14ac:dyDescent="0.25">
      <c r="A132" s="5">
        <v>18</v>
      </c>
      <c r="B132" s="5" t="s">
        <v>232</v>
      </c>
      <c r="C132" s="5" t="s">
        <v>6</v>
      </c>
      <c r="D132" s="7">
        <v>100</v>
      </c>
      <c r="E132" s="7" t="s">
        <v>1</v>
      </c>
      <c r="F132" s="7">
        <v>119</v>
      </c>
      <c r="G132" s="7">
        <f t="shared" si="5"/>
        <v>119</v>
      </c>
      <c r="H132" s="7" t="s">
        <v>105</v>
      </c>
      <c r="I132" s="23">
        <f>95*50/100</f>
        <v>47.5</v>
      </c>
      <c r="J132" s="23">
        <v>50</v>
      </c>
      <c r="K132" s="23">
        <f>SUM(I131:J131)</f>
        <v>97</v>
      </c>
      <c r="L132" s="14">
        <f>($H$106/$G$106*G132)/100*K132</f>
        <v>632.64953294952261</v>
      </c>
    </row>
    <row r="133" spans="1:12" s="1" customFormat="1" ht="15.75" x14ac:dyDescent="0.25">
      <c r="A133" s="5"/>
      <c r="B133" s="5"/>
      <c r="C133" s="5"/>
      <c r="D133" s="7"/>
      <c r="E133" s="7"/>
      <c r="F133" s="7"/>
      <c r="G133" s="7"/>
      <c r="H133" s="7"/>
      <c r="I133" s="23"/>
      <c r="J133" s="23"/>
      <c r="K133" s="23"/>
      <c r="L133" s="14"/>
    </row>
    <row r="134" spans="1:12" s="9" customFormat="1" ht="15.75" x14ac:dyDescent="0.25">
      <c r="A134" s="8"/>
      <c r="B134" s="8"/>
      <c r="C134" s="8"/>
      <c r="D134" s="20">
        <f>SUM(D115:D133)</f>
        <v>1640.5</v>
      </c>
      <c r="E134" s="13"/>
      <c r="F134" s="20">
        <f>SUM(F115:F133)</f>
        <v>2203</v>
      </c>
      <c r="G134" s="20">
        <f>SUM(G115:G133)</f>
        <v>2009.2950000000001</v>
      </c>
      <c r="H134" s="21">
        <f>G274/G272*G134</f>
        <v>11012.557769278448</v>
      </c>
      <c r="I134" s="31"/>
      <c r="J134" s="31"/>
      <c r="K134" s="31"/>
      <c r="L134" s="17"/>
    </row>
    <row r="135" spans="1:12" s="9" customFormat="1" ht="15.75" x14ac:dyDescent="0.25">
      <c r="A135" s="8"/>
      <c r="B135" s="8"/>
      <c r="C135" s="8"/>
      <c r="D135" s="13"/>
      <c r="E135" s="13"/>
      <c r="F135" s="13"/>
      <c r="G135" s="13"/>
      <c r="H135" s="13"/>
      <c r="I135" s="32">
        <f>SUM(I115:I134)</f>
        <v>855.5</v>
      </c>
      <c r="J135" s="31"/>
      <c r="K135" s="32">
        <f>SUM(K115:K133)</f>
        <v>1506.5</v>
      </c>
      <c r="L135" s="17"/>
    </row>
    <row r="136" spans="1:12" s="9" customFormat="1" ht="15.75" x14ac:dyDescent="0.25">
      <c r="A136" s="8"/>
      <c r="B136" s="8"/>
      <c r="C136" s="8"/>
      <c r="D136" s="13"/>
      <c r="E136" s="13"/>
      <c r="F136" s="13"/>
      <c r="G136" s="13"/>
      <c r="H136" s="13"/>
      <c r="I136" s="31">
        <f>50*18</f>
        <v>900</v>
      </c>
      <c r="J136" s="31"/>
      <c r="K136" s="31"/>
      <c r="L136" s="17"/>
    </row>
    <row r="137" spans="1:12" s="9" customFormat="1" ht="15.75" x14ac:dyDescent="0.25">
      <c r="A137" s="8"/>
      <c r="B137" s="8"/>
      <c r="C137" s="8"/>
      <c r="D137" s="13"/>
      <c r="E137" s="13"/>
      <c r="F137" s="13"/>
      <c r="G137" s="13"/>
      <c r="H137" s="13"/>
      <c r="I137" s="31"/>
      <c r="J137" s="31"/>
      <c r="K137" s="31"/>
      <c r="L137" s="21">
        <f>SUM(L115:L136)</f>
        <v>9207.6817410730073</v>
      </c>
    </row>
    <row r="138" spans="1:12" s="9" customFormat="1" ht="15.75" x14ac:dyDescent="0.25">
      <c r="A138" s="8"/>
      <c r="B138" s="8"/>
      <c r="C138" s="8"/>
      <c r="D138" s="13"/>
      <c r="E138" s="13"/>
      <c r="F138" s="13"/>
      <c r="G138" s="13"/>
      <c r="H138" s="13"/>
      <c r="I138" s="31"/>
      <c r="J138" s="31"/>
      <c r="K138" s="31"/>
      <c r="L138" s="17">
        <f>H134-L137</f>
        <v>1804.8760282054409</v>
      </c>
    </row>
    <row r="139" spans="1:12" s="9" customFormat="1" ht="15.75" x14ac:dyDescent="0.25">
      <c r="A139" s="8"/>
      <c r="B139" s="8"/>
      <c r="C139" s="8"/>
      <c r="D139" s="13"/>
      <c r="E139" s="7"/>
      <c r="F139" s="7"/>
      <c r="G139" s="7"/>
      <c r="H139" s="7"/>
      <c r="I139" s="23"/>
      <c r="J139" s="23"/>
      <c r="K139" s="23"/>
      <c r="L139" s="14"/>
    </row>
    <row r="140" spans="1:12" s="1" customFormat="1" ht="15.75" x14ac:dyDescent="0.25">
      <c r="A140" s="5"/>
      <c r="B140" s="5"/>
      <c r="C140" s="5"/>
      <c r="D140" s="7"/>
      <c r="E140" s="7"/>
      <c r="F140" s="7"/>
      <c r="G140" s="10" t="s">
        <v>35</v>
      </c>
      <c r="H140" s="10" t="s">
        <v>37</v>
      </c>
      <c r="I140" s="29" t="s">
        <v>39</v>
      </c>
      <c r="J140" s="29" t="s">
        <v>39</v>
      </c>
      <c r="K140" s="29" t="s">
        <v>39</v>
      </c>
      <c r="L140" s="15" t="s">
        <v>41</v>
      </c>
    </row>
    <row r="141" spans="1:12" s="12" customFormat="1" ht="15.75" x14ac:dyDescent="0.25">
      <c r="A141" s="11"/>
      <c r="B141" s="11"/>
      <c r="C141" s="2" t="s">
        <v>8</v>
      </c>
      <c r="D141" s="3" t="s">
        <v>9</v>
      </c>
      <c r="E141" s="3" t="s">
        <v>10</v>
      </c>
      <c r="F141" s="3" t="s">
        <v>34</v>
      </c>
      <c r="G141" s="3" t="s">
        <v>36</v>
      </c>
      <c r="H141" s="3" t="s">
        <v>38</v>
      </c>
      <c r="I141" s="30" t="s">
        <v>99</v>
      </c>
      <c r="J141" s="30" t="s">
        <v>100</v>
      </c>
      <c r="K141" s="30" t="s">
        <v>101</v>
      </c>
      <c r="L141" s="16" t="s">
        <v>42</v>
      </c>
    </row>
    <row r="142" spans="1:12" s="1" customFormat="1" ht="15.75" x14ac:dyDescent="0.25">
      <c r="A142" s="5"/>
      <c r="B142" s="5"/>
      <c r="C142" s="5"/>
      <c r="D142" s="7"/>
      <c r="E142" s="7"/>
      <c r="F142" s="7"/>
      <c r="G142" s="7"/>
      <c r="H142" s="7"/>
      <c r="I142" s="23"/>
      <c r="J142" s="23"/>
      <c r="K142" s="23"/>
      <c r="L142" s="14"/>
    </row>
    <row r="143" spans="1:12" s="1" customFormat="1" ht="15.75" x14ac:dyDescent="0.25">
      <c r="A143" s="5">
        <v>1</v>
      </c>
      <c r="B143" s="5" t="s">
        <v>87</v>
      </c>
      <c r="C143" s="5" t="s">
        <v>6</v>
      </c>
      <c r="D143" s="7">
        <v>100</v>
      </c>
      <c r="E143" s="7" t="s">
        <v>17</v>
      </c>
      <c r="F143" s="7">
        <v>117</v>
      </c>
      <c r="G143" s="7">
        <f>F143*D143/100</f>
        <v>117</v>
      </c>
      <c r="H143" s="7" t="s">
        <v>4</v>
      </c>
      <c r="I143" s="23">
        <f>90*50/90</f>
        <v>50</v>
      </c>
      <c r="J143" s="23">
        <v>15</v>
      </c>
      <c r="K143" s="23">
        <f t="shared" ref="K143:K146" si="7">SUM(I143:J143)</f>
        <v>65</v>
      </c>
      <c r="L143" s="14">
        <f>($H$148/$G$148*G143)/100*K143</f>
        <v>416.81535979217881</v>
      </c>
    </row>
    <row r="144" spans="1:12" s="1" customFormat="1" ht="15.75" x14ac:dyDescent="0.25">
      <c r="A144" s="5">
        <v>2</v>
      </c>
      <c r="B144" s="5" t="s">
        <v>127</v>
      </c>
      <c r="C144" s="5" t="s">
        <v>6</v>
      </c>
      <c r="D144" s="7">
        <v>100</v>
      </c>
      <c r="E144" s="7" t="s">
        <v>2</v>
      </c>
      <c r="F144" s="7">
        <v>112</v>
      </c>
      <c r="G144" s="7">
        <f>F144*D144/100</f>
        <v>112</v>
      </c>
      <c r="H144" s="7" t="s">
        <v>111</v>
      </c>
      <c r="I144" s="23">
        <f>90*50/90</f>
        <v>50</v>
      </c>
      <c r="J144" s="23">
        <v>50</v>
      </c>
      <c r="K144" s="23">
        <f>SUM(I144:J144)</f>
        <v>100</v>
      </c>
      <c r="L144" s="14">
        <f>($H$106/$G$106*G144)/100*K144</f>
        <v>613.85036550590439</v>
      </c>
    </row>
    <row r="145" spans="1:12" s="1" customFormat="1" ht="15.75" x14ac:dyDescent="0.25">
      <c r="A145" s="5">
        <v>3</v>
      </c>
      <c r="B145" s="5" t="s">
        <v>85</v>
      </c>
      <c r="C145" s="5" t="s">
        <v>6</v>
      </c>
      <c r="D145" s="7">
        <v>100</v>
      </c>
      <c r="E145" s="7" t="s">
        <v>12</v>
      </c>
      <c r="F145" s="7">
        <v>115</v>
      </c>
      <c r="G145" s="7">
        <f>F145*D145/100</f>
        <v>115</v>
      </c>
      <c r="H145" s="7" t="s">
        <v>28</v>
      </c>
      <c r="I145" s="23">
        <f>90*50/90</f>
        <v>50</v>
      </c>
      <c r="J145" s="23">
        <v>25</v>
      </c>
      <c r="K145" s="23">
        <f t="shared" si="7"/>
        <v>75</v>
      </c>
      <c r="L145" s="14">
        <f>($H$148/$G$148*G145)/100*K145</f>
        <v>472.71958950789514</v>
      </c>
    </row>
    <row r="146" spans="1:12" s="1" customFormat="1" ht="15.75" x14ac:dyDescent="0.25">
      <c r="A146" s="5">
        <v>4</v>
      </c>
      <c r="B146" s="5" t="s">
        <v>86</v>
      </c>
      <c r="C146" s="5" t="s">
        <v>6</v>
      </c>
      <c r="D146" s="7">
        <v>100</v>
      </c>
      <c r="E146" s="7" t="s">
        <v>12</v>
      </c>
      <c r="F146" s="7">
        <v>115</v>
      </c>
      <c r="G146" s="7">
        <f>F146*D146/100</f>
        <v>115</v>
      </c>
      <c r="H146" s="7" t="s">
        <v>26</v>
      </c>
      <c r="I146" s="23">
        <f>90*50/90</f>
        <v>50</v>
      </c>
      <c r="J146" s="23">
        <v>25</v>
      </c>
      <c r="K146" s="23">
        <f t="shared" si="7"/>
        <v>75</v>
      </c>
      <c r="L146" s="14">
        <f>($H$148/$G$148*G146)/100*K146</f>
        <v>472.71958950789514</v>
      </c>
    </row>
    <row r="147" spans="1:12" s="1" customFormat="1" ht="15.75" x14ac:dyDescent="0.25">
      <c r="A147" s="5"/>
      <c r="B147" s="5"/>
      <c r="C147" s="5"/>
      <c r="D147" s="7"/>
      <c r="E147" s="7"/>
      <c r="F147" s="7"/>
      <c r="G147" s="7"/>
      <c r="H147" s="7"/>
      <c r="I147" s="23"/>
      <c r="J147" s="23"/>
      <c r="K147" s="23"/>
      <c r="L147" s="14"/>
    </row>
    <row r="148" spans="1:12" s="9" customFormat="1" ht="15.75" x14ac:dyDescent="0.25">
      <c r="A148" s="8"/>
      <c r="B148" s="8"/>
      <c r="C148" s="8"/>
      <c r="D148" s="20">
        <f>SUM(D143:D147)</f>
        <v>400</v>
      </c>
      <c r="E148" s="13"/>
      <c r="F148" s="20">
        <f>SUM(F143:F147)</f>
        <v>459</v>
      </c>
      <c r="G148" s="20">
        <f>SUM(G143:G147)</f>
        <v>459</v>
      </c>
      <c r="H148" s="21">
        <f>G274/G272*G148</f>
        <v>2515.6903372072329</v>
      </c>
      <c r="I148" s="31"/>
      <c r="J148" s="31"/>
      <c r="K148" s="31"/>
      <c r="L148" s="17"/>
    </row>
    <row r="149" spans="1:12" s="9" customFormat="1" ht="15.75" x14ac:dyDescent="0.25">
      <c r="A149" s="8"/>
      <c r="B149" s="8"/>
      <c r="C149" s="8"/>
      <c r="D149" s="13"/>
      <c r="E149" s="13"/>
      <c r="F149" s="13"/>
      <c r="G149" s="13"/>
      <c r="H149" s="13"/>
      <c r="I149" s="32">
        <f>SUM(I143:I148)</f>
        <v>200</v>
      </c>
      <c r="J149" s="31"/>
      <c r="K149" s="32">
        <f>SUM(K143:K148)</f>
        <v>315</v>
      </c>
      <c r="L149" s="17"/>
    </row>
    <row r="150" spans="1:12" s="9" customFormat="1" ht="15.75" x14ac:dyDescent="0.25">
      <c r="A150" s="8"/>
      <c r="B150" s="8"/>
      <c r="C150" s="8"/>
      <c r="D150" s="13"/>
      <c r="E150" s="13"/>
      <c r="F150" s="13"/>
      <c r="G150" s="13"/>
      <c r="H150" s="13"/>
      <c r="I150" s="31">
        <f>50*4</f>
        <v>200</v>
      </c>
      <c r="J150" s="31"/>
      <c r="K150" s="31"/>
      <c r="L150" s="17"/>
    </row>
    <row r="151" spans="1:12" s="9" customFormat="1" ht="15.75" x14ac:dyDescent="0.25">
      <c r="A151" s="8"/>
      <c r="B151" s="8"/>
      <c r="C151" s="8"/>
      <c r="D151" s="13"/>
      <c r="E151" s="13"/>
      <c r="F151" s="13"/>
      <c r="G151" s="13"/>
      <c r="H151" s="13"/>
      <c r="I151" s="31"/>
      <c r="J151" s="31"/>
      <c r="K151" s="31"/>
      <c r="L151" s="21">
        <f>SUM(L143:L150)</f>
        <v>1976.1049043138732</v>
      </c>
    </row>
    <row r="152" spans="1:12" s="9" customFormat="1" ht="15.75" x14ac:dyDescent="0.25">
      <c r="A152" s="8"/>
      <c r="B152" s="8"/>
      <c r="C152" s="8"/>
      <c r="D152" s="13"/>
      <c r="E152" s="13"/>
      <c r="F152" s="13"/>
      <c r="G152" s="13"/>
      <c r="H152" s="13"/>
      <c r="I152" s="31"/>
      <c r="J152" s="31"/>
      <c r="K152" s="31"/>
      <c r="L152" s="17">
        <f>H148-L151</f>
        <v>539.58543289335967</v>
      </c>
    </row>
    <row r="153" spans="1:12" s="9" customFormat="1" ht="15.75" x14ac:dyDescent="0.25">
      <c r="A153" s="8"/>
      <c r="B153" s="8"/>
      <c r="C153" s="8"/>
      <c r="D153" s="13"/>
      <c r="E153" s="7"/>
      <c r="F153" s="7"/>
      <c r="G153" s="7"/>
      <c r="H153" s="7"/>
      <c r="I153" s="23"/>
      <c r="J153" s="23"/>
      <c r="K153" s="23"/>
      <c r="L153" s="14"/>
    </row>
    <row r="154" spans="1:12" s="1" customFormat="1" ht="15.75" x14ac:dyDescent="0.25">
      <c r="A154" s="5"/>
      <c r="B154" s="5"/>
      <c r="C154" s="5"/>
      <c r="D154" s="7"/>
      <c r="E154" s="7"/>
      <c r="F154" s="7"/>
      <c r="G154" s="10" t="s">
        <v>35</v>
      </c>
      <c r="H154" s="10" t="s">
        <v>37</v>
      </c>
      <c r="I154" s="29" t="s">
        <v>39</v>
      </c>
      <c r="J154" s="29" t="s">
        <v>39</v>
      </c>
      <c r="K154" s="29" t="s">
        <v>121</v>
      </c>
      <c r="L154" s="15" t="s">
        <v>41</v>
      </c>
    </row>
    <row r="155" spans="1:12" s="12" customFormat="1" ht="15.75" x14ac:dyDescent="0.25">
      <c r="A155" s="11"/>
      <c r="B155" s="11"/>
      <c r="C155" s="2" t="s">
        <v>8</v>
      </c>
      <c r="D155" s="3" t="s">
        <v>9</v>
      </c>
      <c r="E155" s="3" t="s">
        <v>10</v>
      </c>
      <c r="F155" s="3" t="s">
        <v>34</v>
      </c>
      <c r="G155" s="3" t="s">
        <v>36</v>
      </c>
      <c r="H155" s="3" t="s">
        <v>38</v>
      </c>
      <c r="I155" s="30" t="s">
        <v>99</v>
      </c>
      <c r="J155" s="30" t="s">
        <v>100</v>
      </c>
      <c r="K155" s="30" t="s">
        <v>101</v>
      </c>
      <c r="L155" s="16" t="s">
        <v>42</v>
      </c>
    </row>
    <row r="156" spans="1:12" s="1" customFormat="1" ht="15.75" x14ac:dyDescent="0.25">
      <c r="A156" s="5"/>
      <c r="B156" s="5"/>
      <c r="C156" s="5"/>
      <c r="D156" s="7"/>
      <c r="E156" s="7"/>
      <c r="F156" s="7"/>
      <c r="G156" s="7"/>
      <c r="H156" s="7"/>
      <c r="I156" s="23"/>
      <c r="J156" s="23"/>
      <c r="K156" s="23"/>
      <c r="L156" s="14"/>
    </row>
    <row r="157" spans="1:12" s="1" customFormat="1" ht="15.75" x14ac:dyDescent="0.25">
      <c r="A157" s="5">
        <v>1</v>
      </c>
      <c r="B157" s="5" t="s">
        <v>88</v>
      </c>
      <c r="C157" s="5" t="s">
        <v>6</v>
      </c>
      <c r="D157" s="7">
        <v>100</v>
      </c>
      <c r="E157" s="5" t="s">
        <v>1</v>
      </c>
      <c r="F157" s="7">
        <v>119</v>
      </c>
      <c r="G157" s="7">
        <f t="shared" ref="G157:G164" si="8">F157*D157/100</f>
        <v>119</v>
      </c>
      <c r="H157" s="7" t="s">
        <v>113</v>
      </c>
      <c r="I157" s="23">
        <f>57*50/60</f>
        <v>47.5</v>
      </c>
      <c r="J157" s="23">
        <v>40</v>
      </c>
      <c r="K157" s="23">
        <f>SUM(I157:J157)</f>
        <v>87.5</v>
      </c>
      <c r="L157" s="14">
        <f>($H$166/$G$166*G157)/100*K157</f>
        <v>570.68901168127047</v>
      </c>
    </row>
    <row r="158" spans="1:12" s="1" customFormat="1" ht="15.75" x14ac:dyDescent="0.25">
      <c r="A158" s="25">
        <v>2</v>
      </c>
      <c r="B158" s="25" t="s">
        <v>75</v>
      </c>
      <c r="C158" s="25" t="s">
        <v>6</v>
      </c>
      <c r="D158" s="27">
        <v>100</v>
      </c>
      <c r="E158" s="27" t="s">
        <v>0</v>
      </c>
      <c r="F158" s="27">
        <v>130</v>
      </c>
      <c r="G158" s="27">
        <f t="shared" si="8"/>
        <v>130</v>
      </c>
      <c r="H158" s="7" t="s">
        <v>113</v>
      </c>
      <c r="I158" s="23">
        <f>57*50/60</f>
        <v>47.5</v>
      </c>
      <c r="J158" s="23">
        <v>40</v>
      </c>
      <c r="K158" s="23">
        <f t="shared" ref="K158:K162" si="9">SUM(I158:J158)</f>
        <v>87.5</v>
      </c>
      <c r="L158" s="14">
        <f>($H$166/$G$166*G158)/100*K158</f>
        <v>623.44177746693413</v>
      </c>
    </row>
    <row r="159" spans="1:12" s="1" customFormat="1" ht="15.75" x14ac:dyDescent="0.25">
      <c r="A159" s="5">
        <v>3</v>
      </c>
      <c r="B159" s="5" t="s">
        <v>166</v>
      </c>
      <c r="C159" s="5" t="s">
        <v>6</v>
      </c>
      <c r="D159" s="7">
        <v>100</v>
      </c>
      <c r="E159" s="5" t="s">
        <v>1</v>
      </c>
      <c r="F159" s="7">
        <v>119</v>
      </c>
      <c r="G159" s="27">
        <f t="shared" si="8"/>
        <v>119</v>
      </c>
      <c r="H159" s="7" t="s">
        <v>113</v>
      </c>
      <c r="I159" s="23">
        <f>57*50/60</f>
        <v>47.5</v>
      </c>
      <c r="J159" s="23">
        <v>50</v>
      </c>
      <c r="K159" s="23">
        <f t="shared" si="9"/>
        <v>97.5</v>
      </c>
      <c r="L159" s="14">
        <f>($H$166/$G$166*G159)/100*K159</f>
        <v>635.9106130162728</v>
      </c>
    </row>
    <row r="160" spans="1:12" s="1" customFormat="1" ht="15.75" x14ac:dyDescent="0.25">
      <c r="A160" s="5">
        <v>4</v>
      </c>
      <c r="B160" s="5" t="s">
        <v>215</v>
      </c>
      <c r="C160" s="5" t="s">
        <v>160</v>
      </c>
      <c r="D160" s="7">
        <v>14</v>
      </c>
      <c r="E160" s="5" t="s">
        <v>2</v>
      </c>
      <c r="F160" s="7">
        <v>112</v>
      </c>
      <c r="G160" s="27">
        <f t="shared" si="8"/>
        <v>15.68</v>
      </c>
      <c r="H160" s="7" t="s">
        <v>113</v>
      </c>
      <c r="I160" s="23">
        <f>80*50/90</f>
        <v>44.444444444444443</v>
      </c>
      <c r="J160" s="23">
        <v>50</v>
      </c>
      <c r="K160" s="23">
        <f t="shared" si="9"/>
        <v>94.444444444444443</v>
      </c>
      <c r="L160" s="14">
        <f>($H$166/$G$166*G160)/100*K160</f>
        <v>81.164659439114033</v>
      </c>
    </row>
    <row r="161" spans="1:12" s="1" customFormat="1" ht="15.75" x14ac:dyDescent="0.25">
      <c r="A161" s="25">
        <v>5</v>
      </c>
      <c r="B161" s="5" t="s">
        <v>220</v>
      </c>
      <c r="C161" s="5" t="s">
        <v>6</v>
      </c>
      <c r="D161" s="7">
        <v>28</v>
      </c>
      <c r="E161" s="5" t="s">
        <v>1</v>
      </c>
      <c r="F161" s="7">
        <v>119</v>
      </c>
      <c r="G161" s="27">
        <f t="shared" si="8"/>
        <v>33.32</v>
      </c>
      <c r="H161" s="7" t="s">
        <v>113</v>
      </c>
      <c r="I161" s="23">
        <f>38*50/60</f>
        <v>31.666666666666668</v>
      </c>
      <c r="J161" s="23">
        <v>40</v>
      </c>
      <c r="K161" s="23">
        <f t="shared" si="9"/>
        <v>71.666666666666671</v>
      </c>
      <c r="L161" s="14">
        <f>($H$166/$G$166*G161)/100*K161</f>
        <v>130.87801334557136</v>
      </c>
    </row>
    <row r="162" spans="1:12" s="1" customFormat="1" ht="15.75" x14ac:dyDescent="0.25">
      <c r="A162" s="5">
        <v>6</v>
      </c>
      <c r="B162" s="5" t="s">
        <v>89</v>
      </c>
      <c r="C162" s="5" t="s">
        <v>6</v>
      </c>
      <c r="D162" s="7">
        <v>100</v>
      </c>
      <c r="E162" s="5" t="s">
        <v>1</v>
      </c>
      <c r="F162" s="7">
        <v>119</v>
      </c>
      <c r="G162" s="7">
        <f t="shared" si="8"/>
        <v>119</v>
      </c>
      <c r="H162" s="7" t="s">
        <v>113</v>
      </c>
      <c r="I162" s="23">
        <f>57*50/60</f>
        <v>47.5</v>
      </c>
      <c r="J162" s="23">
        <v>40</v>
      </c>
      <c r="K162" s="23">
        <f t="shared" si="9"/>
        <v>87.5</v>
      </c>
      <c r="L162" s="14">
        <f>($H$166/$G$166*G162)/100*K162</f>
        <v>570.68901168127047</v>
      </c>
    </row>
    <row r="163" spans="1:12" s="26" customFormat="1" ht="15.75" x14ac:dyDescent="0.25">
      <c r="A163" s="5">
        <v>7</v>
      </c>
      <c r="B163" s="5" t="s">
        <v>167</v>
      </c>
      <c r="C163" s="5" t="s">
        <v>6</v>
      </c>
      <c r="D163" s="7">
        <v>100</v>
      </c>
      <c r="E163" s="5" t="s">
        <v>1</v>
      </c>
      <c r="F163" s="7">
        <v>119</v>
      </c>
      <c r="G163" s="7">
        <f t="shared" si="8"/>
        <v>119</v>
      </c>
      <c r="H163" s="7" t="s">
        <v>113</v>
      </c>
      <c r="I163" s="23">
        <f>57*50/60</f>
        <v>47.5</v>
      </c>
      <c r="J163" s="33">
        <v>15</v>
      </c>
      <c r="K163" s="33">
        <f>SUM(I163:J163)</f>
        <v>62.5</v>
      </c>
      <c r="L163" s="14">
        <f>($H$166/$G$166*G163)/100*K163</f>
        <v>407.63500834376458</v>
      </c>
    </row>
    <row r="164" spans="1:12" s="1" customFormat="1" ht="15" customHeight="1" x14ac:dyDescent="0.25">
      <c r="A164" s="25">
        <v>8</v>
      </c>
      <c r="B164" s="5" t="s">
        <v>240</v>
      </c>
      <c r="C164" s="5" t="s">
        <v>160</v>
      </c>
      <c r="D164" s="7">
        <v>17</v>
      </c>
      <c r="E164" s="5" t="s">
        <v>2</v>
      </c>
      <c r="F164" s="7">
        <v>112</v>
      </c>
      <c r="G164" s="7">
        <f t="shared" si="8"/>
        <v>19.04</v>
      </c>
      <c r="H164" s="7" t="s">
        <v>107</v>
      </c>
      <c r="I164" s="23">
        <f>45</f>
        <v>45</v>
      </c>
      <c r="J164" s="23">
        <v>25</v>
      </c>
      <c r="K164" s="23">
        <f>SUM(I164:J164)</f>
        <v>70</v>
      </c>
      <c r="L164" s="14">
        <f>($H$166/$G$166*G164)/100*K164</f>
        <v>73.048193495202611</v>
      </c>
    </row>
    <row r="165" spans="1:12" s="1" customFormat="1" ht="15.75" x14ac:dyDescent="0.25">
      <c r="A165" s="5"/>
      <c r="B165" s="5"/>
      <c r="C165" s="5"/>
      <c r="D165" s="7"/>
      <c r="E165" s="7"/>
      <c r="F165" s="7"/>
      <c r="G165" s="7"/>
      <c r="H165" s="7"/>
      <c r="I165" s="23"/>
      <c r="J165" s="23"/>
      <c r="K165" s="23"/>
      <c r="L165" s="14"/>
    </row>
    <row r="166" spans="1:12" s="9" customFormat="1" ht="15.75" x14ac:dyDescent="0.25">
      <c r="A166" s="8"/>
      <c r="B166" s="8"/>
      <c r="C166" s="8"/>
      <c r="D166" s="20">
        <f>SUM(D157:D165)</f>
        <v>559</v>
      </c>
      <c r="E166" s="13"/>
      <c r="F166" s="20">
        <f>SUM(F157:F165)</f>
        <v>949</v>
      </c>
      <c r="G166" s="20">
        <f>SUM(G157:G165)</f>
        <v>674.04</v>
      </c>
      <c r="H166" s="21">
        <f>G274/G272*G166</f>
        <v>3694.283038978569</v>
      </c>
      <c r="I166" s="31"/>
      <c r="J166" s="31"/>
      <c r="K166" s="31"/>
      <c r="L166" s="17"/>
    </row>
    <row r="167" spans="1:12" s="9" customFormat="1" ht="15.75" x14ac:dyDescent="0.25">
      <c r="A167" s="8"/>
      <c r="B167" s="8"/>
      <c r="C167" s="8"/>
      <c r="D167" s="13"/>
      <c r="E167" s="13"/>
      <c r="F167" s="13"/>
      <c r="G167" s="13"/>
      <c r="H167" s="13"/>
      <c r="I167" s="32">
        <f>SUM(I157:I166)</f>
        <v>358.61111111111109</v>
      </c>
      <c r="J167" s="31"/>
      <c r="K167" s="32">
        <f>SUM(K157:K166)</f>
        <v>658.61111111111109</v>
      </c>
      <c r="L167" s="17"/>
    </row>
    <row r="168" spans="1:12" s="9" customFormat="1" ht="15.75" x14ac:dyDescent="0.25">
      <c r="A168" s="8"/>
      <c r="B168" s="8"/>
      <c r="C168" s="8"/>
      <c r="D168" s="13"/>
      <c r="E168" s="13"/>
      <c r="F168" s="13"/>
      <c r="G168" s="13"/>
      <c r="H168" s="13"/>
      <c r="I168" s="31">
        <f>50*8</f>
        <v>400</v>
      </c>
      <c r="J168" s="31"/>
      <c r="K168" s="31"/>
      <c r="L168" s="17"/>
    </row>
    <row r="169" spans="1:12" s="9" customFormat="1" ht="15.75" x14ac:dyDescent="0.25">
      <c r="A169" s="8"/>
      <c r="B169" s="8"/>
      <c r="C169" s="8"/>
      <c r="D169" s="13"/>
      <c r="E169" s="13"/>
      <c r="F169" s="13"/>
      <c r="G169" s="13"/>
      <c r="H169" s="13"/>
      <c r="I169" s="31"/>
      <c r="J169" s="31"/>
      <c r="K169" s="31"/>
      <c r="L169" s="21">
        <f>SUM(L157:L168)</f>
        <v>3093.4562884694005</v>
      </c>
    </row>
    <row r="170" spans="1:12" s="9" customFormat="1" ht="15.75" x14ac:dyDescent="0.25">
      <c r="A170" s="8"/>
      <c r="B170" s="8"/>
      <c r="C170" s="8"/>
      <c r="D170" s="13"/>
      <c r="E170" s="13"/>
      <c r="F170" s="13"/>
      <c r="G170" s="13"/>
      <c r="H170" s="13"/>
      <c r="I170" s="31"/>
      <c r="J170" s="31"/>
      <c r="K170" s="31"/>
      <c r="L170" s="17">
        <f>H166-L169</f>
        <v>600.82675050916851</v>
      </c>
    </row>
    <row r="171" spans="1:12" s="9" customFormat="1" ht="15.75" x14ac:dyDescent="0.25">
      <c r="A171" s="8"/>
      <c r="B171" s="8"/>
      <c r="C171" s="8"/>
      <c r="D171" s="13"/>
      <c r="E171" s="7"/>
      <c r="F171" s="7"/>
      <c r="G171" s="7"/>
      <c r="H171" s="7"/>
      <c r="I171" s="23"/>
      <c r="J171" s="23"/>
      <c r="K171" s="23"/>
      <c r="L171" s="14"/>
    </row>
    <row r="172" spans="1:12" s="1" customFormat="1" ht="15.75" x14ac:dyDescent="0.25">
      <c r="A172" s="5"/>
      <c r="B172" s="5"/>
      <c r="C172" s="5"/>
      <c r="D172" s="7"/>
      <c r="E172" s="7"/>
      <c r="F172" s="7"/>
      <c r="G172" s="10" t="s">
        <v>35</v>
      </c>
      <c r="H172" s="10" t="s">
        <v>37</v>
      </c>
      <c r="I172" s="29" t="s">
        <v>39</v>
      </c>
      <c r="J172" s="29" t="s">
        <v>39</v>
      </c>
      <c r="K172" s="29" t="s">
        <v>39</v>
      </c>
      <c r="L172" s="15" t="s">
        <v>41</v>
      </c>
    </row>
    <row r="173" spans="1:12" s="12" customFormat="1" ht="15.75" x14ac:dyDescent="0.25">
      <c r="A173" s="11"/>
      <c r="B173" s="11"/>
      <c r="C173" s="2" t="s">
        <v>8</v>
      </c>
      <c r="D173" s="3" t="s">
        <v>9</v>
      </c>
      <c r="E173" s="3" t="s">
        <v>10</v>
      </c>
      <c r="F173" s="3" t="s">
        <v>34</v>
      </c>
      <c r="G173" s="3" t="s">
        <v>36</v>
      </c>
      <c r="H173" s="3" t="s">
        <v>38</v>
      </c>
      <c r="I173" s="30" t="s">
        <v>99</v>
      </c>
      <c r="J173" s="30" t="s">
        <v>100</v>
      </c>
      <c r="K173" s="30" t="s">
        <v>101</v>
      </c>
      <c r="L173" s="16" t="s">
        <v>42</v>
      </c>
    </row>
    <row r="174" spans="1:12" s="1" customFormat="1" ht="15.75" x14ac:dyDescent="0.25">
      <c r="A174" s="5"/>
      <c r="B174" s="5"/>
      <c r="C174" s="5"/>
      <c r="D174" s="7"/>
      <c r="E174" s="7"/>
      <c r="F174" s="7"/>
      <c r="G174" s="7"/>
      <c r="H174" s="7"/>
      <c r="I174" s="23"/>
      <c r="J174" s="23"/>
      <c r="K174" s="23"/>
      <c r="L174" s="14"/>
    </row>
    <row r="175" spans="1:12" s="1" customFormat="1" ht="15.75" x14ac:dyDescent="0.25">
      <c r="A175" s="5">
        <v>1</v>
      </c>
      <c r="B175" s="5" t="s">
        <v>90</v>
      </c>
      <c r="C175" s="5" t="s">
        <v>6</v>
      </c>
      <c r="D175" s="7">
        <v>100</v>
      </c>
      <c r="E175" s="5" t="s">
        <v>16</v>
      </c>
      <c r="F175" s="7">
        <v>134</v>
      </c>
      <c r="G175" s="7">
        <f t="shared" ref="G175:G177" si="10">F175*D175/100</f>
        <v>134</v>
      </c>
      <c r="H175" s="7" t="s">
        <v>106</v>
      </c>
      <c r="I175" s="23">
        <f>81*50/90</f>
        <v>45</v>
      </c>
      <c r="J175" s="23">
        <v>0</v>
      </c>
      <c r="K175" s="23">
        <f>SUM(I175:J175)</f>
        <v>45</v>
      </c>
      <c r="L175" s="14">
        <f>($H$179/$G$179*G175)/100*K175</f>
        <v>330.49265214291103</v>
      </c>
    </row>
    <row r="176" spans="1:12" s="1" customFormat="1" ht="15.75" x14ac:dyDescent="0.25">
      <c r="A176" s="5">
        <v>2</v>
      </c>
      <c r="B176" s="5" t="s">
        <v>209</v>
      </c>
      <c r="C176" s="5" t="s">
        <v>188</v>
      </c>
      <c r="D176" s="7">
        <v>63</v>
      </c>
      <c r="E176" s="5" t="s">
        <v>1</v>
      </c>
      <c r="F176" s="7">
        <v>119</v>
      </c>
      <c r="G176" s="7">
        <f t="shared" si="10"/>
        <v>74.97</v>
      </c>
      <c r="H176" s="7" t="s">
        <v>208</v>
      </c>
      <c r="I176" s="23">
        <f>((93*50/100)+(83*50/90))/2</f>
        <v>46.305555555555557</v>
      </c>
      <c r="J176" s="23">
        <v>15</v>
      </c>
      <c r="K176" s="23">
        <f>SUM(I176:J176)</f>
        <v>61.305555555555557</v>
      </c>
      <c r="L176" s="14">
        <f>($H$179/$G$179*G176)/100*K176</f>
        <v>251.90212975611277</v>
      </c>
    </row>
    <row r="177" spans="1:12" s="1" customFormat="1" ht="15.75" x14ac:dyDescent="0.25">
      <c r="A177" s="5">
        <v>3</v>
      </c>
      <c r="B177" s="5" t="s">
        <v>91</v>
      </c>
      <c r="C177" s="5" t="s">
        <v>6</v>
      </c>
      <c r="D177" s="7">
        <v>96</v>
      </c>
      <c r="E177" s="5" t="s">
        <v>14</v>
      </c>
      <c r="F177" s="7">
        <v>129</v>
      </c>
      <c r="G177" s="7">
        <f t="shared" si="10"/>
        <v>123.84</v>
      </c>
      <c r="H177" s="7" t="s">
        <v>106</v>
      </c>
      <c r="I177" s="23">
        <f>75*50/90</f>
        <v>41.666666666666664</v>
      </c>
      <c r="J177" s="23">
        <v>25</v>
      </c>
      <c r="K177" s="23">
        <f t="shared" ref="K177" si="11">SUM(I177:J177)</f>
        <v>66.666666666666657</v>
      </c>
      <c r="L177" s="14">
        <f>($H$179/$G$179*G177)/100*K177</f>
        <v>452.49541228720949</v>
      </c>
    </row>
    <row r="178" spans="1:12" s="1" customFormat="1" ht="15.75" x14ac:dyDescent="0.25">
      <c r="A178" s="5"/>
      <c r="B178" s="5"/>
      <c r="C178" s="5"/>
      <c r="D178" s="7"/>
      <c r="E178" s="7"/>
      <c r="F178" s="7"/>
      <c r="G178" s="7"/>
      <c r="H178" s="7"/>
      <c r="I178" s="23"/>
      <c r="J178" s="23"/>
      <c r="K178" s="23"/>
      <c r="L178" s="14"/>
    </row>
    <row r="179" spans="1:12" s="9" customFormat="1" ht="15.75" x14ac:dyDescent="0.25">
      <c r="A179" s="8"/>
      <c r="B179" s="8"/>
      <c r="C179" s="8"/>
      <c r="D179" s="20">
        <f>SUM(D175:D178)</f>
        <v>259</v>
      </c>
      <c r="E179" s="13"/>
      <c r="F179" s="20">
        <f>SUM(F175:F178)</f>
        <v>382</v>
      </c>
      <c r="G179" s="20">
        <f>SUM(G175:G178)</f>
        <v>332.81</v>
      </c>
      <c r="H179" s="21">
        <f>G274/G272*G179</f>
        <v>1824.0673227144646</v>
      </c>
      <c r="I179" s="31"/>
      <c r="J179" s="31"/>
      <c r="K179" s="31"/>
      <c r="L179" s="17"/>
    </row>
    <row r="180" spans="1:12" s="9" customFormat="1" ht="15.75" x14ac:dyDescent="0.25">
      <c r="A180" s="8"/>
      <c r="B180" s="8"/>
      <c r="C180" s="8"/>
      <c r="D180" s="13"/>
      <c r="E180" s="13"/>
      <c r="F180" s="13"/>
      <c r="G180" s="13"/>
      <c r="H180" s="13"/>
      <c r="I180" s="32">
        <f>SUM(I175:I179)</f>
        <v>132.97222222222223</v>
      </c>
      <c r="J180" s="31"/>
      <c r="K180" s="32">
        <f>SUM(K175:K179)</f>
        <v>172.97222222222223</v>
      </c>
      <c r="L180" s="17"/>
    </row>
    <row r="181" spans="1:12" s="9" customFormat="1" ht="15.75" x14ac:dyDescent="0.25">
      <c r="A181" s="8"/>
      <c r="B181" s="8"/>
      <c r="C181" s="8"/>
      <c r="D181" s="13"/>
      <c r="E181" s="13"/>
      <c r="F181" s="13"/>
      <c r="G181" s="13"/>
      <c r="H181" s="13"/>
      <c r="I181" s="31">
        <f>50*3</f>
        <v>150</v>
      </c>
      <c r="J181" s="31"/>
      <c r="K181" s="31"/>
      <c r="L181" s="17"/>
    </row>
    <row r="182" spans="1:12" s="9" customFormat="1" ht="15.75" x14ac:dyDescent="0.25">
      <c r="A182" s="8"/>
      <c r="B182" s="8"/>
      <c r="C182" s="8"/>
      <c r="D182" s="13"/>
      <c r="E182" s="13"/>
      <c r="F182" s="13"/>
      <c r="G182" s="13"/>
      <c r="H182" s="13"/>
      <c r="I182" s="31"/>
      <c r="J182" s="31"/>
      <c r="K182" s="31"/>
      <c r="L182" s="21">
        <f>SUM(L175:L178)</f>
        <v>1034.8901941862332</v>
      </c>
    </row>
    <row r="183" spans="1:12" s="9" customFormat="1" ht="15.75" x14ac:dyDescent="0.25">
      <c r="A183" s="8"/>
      <c r="B183" s="8"/>
      <c r="C183" s="8"/>
      <c r="D183" s="13"/>
      <c r="E183" s="13"/>
      <c r="F183" s="13"/>
      <c r="G183" s="13"/>
      <c r="H183" s="13"/>
      <c r="I183" s="31"/>
      <c r="J183" s="31"/>
      <c r="K183" s="31"/>
      <c r="L183" s="17">
        <f>H179-L182</f>
        <v>789.17712852823138</v>
      </c>
    </row>
    <row r="184" spans="1:12" s="9" customFormat="1" ht="15.75" x14ac:dyDescent="0.25">
      <c r="A184" s="8"/>
      <c r="B184" s="8"/>
      <c r="C184" s="8"/>
      <c r="D184" s="13"/>
      <c r="E184" s="13"/>
      <c r="F184" s="13"/>
      <c r="G184" s="13"/>
      <c r="H184" s="13"/>
      <c r="I184" s="31"/>
      <c r="J184" s="31"/>
      <c r="K184" s="31"/>
      <c r="L184" s="17"/>
    </row>
    <row r="185" spans="1:12" s="9" customFormat="1" ht="15.75" x14ac:dyDescent="0.25">
      <c r="A185" s="8"/>
      <c r="B185" s="8"/>
      <c r="C185" s="5"/>
      <c r="D185" s="7"/>
      <c r="E185" s="7"/>
      <c r="F185" s="7"/>
      <c r="G185" s="10" t="s">
        <v>35</v>
      </c>
      <c r="H185" s="10" t="s">
        <v>37</v>
      </c>
      <c r="I185" s="29" t="s">
        <v>39</v>
      </c>
      <c r="J185" s="29" t="s">
        <v>39</v>
      </c>
      <c r="K185" s="29" t="s">
        <v>121</v>
      </c>
      <c r="L185" s="15" t="s">
        <v>41</v>
      </c>
    </row>
    <row r="186" spans="1:12" s="9" customFormat="1" ht="15.75" x14ac:dyDescent="0.25">
      <c r="A186" s="8"/>
      <c r="B186" s="8"/>
      <c r="C186" s="2" t="s">
        <v>8</v>
      </c>
      <c r="D186" s="3" t="s">
        <v>9</v>
      </c>
      <c r="E186" s="3" t="s">
        <v>10</v>
      </c>
      <c r="F186" s="3" t="s">
        <v>34</v>
      </c>
      <c r="G186" s="3" t="s">
        <v>36</v>
      </c>
      <c r="H186" s="3" t="s">
        <v>38</v>
      </c>
      <c r="I186" s="30" t="s">
        <v>99</v>
      </c>
      <c r="J186" s="30" t="s">
        <v>100</v>
      </c>
      <c r="K186" s="30" t="s">
        <v>101</v>
      </c>
      <c r="L186" s="16" t="s">
        <v>42</v>
      </c>
    </row>
    <row r="187" spans="1:12" s="1" customFormat="1" ht="15.75" x14ac:dyDescent="0.25">
      <c r="A187" s="5">
        <v>1</v>
      </c>
      <c r="B187" s="5" t="s">
        <v>206</v>
      </c>
      <c r="C187" s="5" t="s">
        <v>6</v>
      </c>
      <c r="D187" s="7">
        <v>30</v>
      </c>
      <c r="E187" s="7" t="s">
        <v>1</v>
      </c>
      <c r="F187" s="7">
        <v>119</v>
      </c>
      <c r="G187" s="7">
        <f>F187*D187/100</f>
        <v>35.700000000000003</v>
      </c>
      <c r="H187" s="7" t="s">
        <v>110</v>
      </c>
      <c r="I187" s="23">
        <f>90*50/100</f>
        <v>45</v>
      </c>
      <c r="J187" s="23">
        <v>50</v>
      </c>
      <c r="K187" s="23">
        <f>SUM(I187:J187)</f>
        <v>95</v>
      </c>
      <c r="L187" s="14">
        <f>($H$179/$G$179*G187)/100*K187</f>
        <v>185.88156380475667</v>
      </c>
    </row>
    <row r="188" spans="1:12" s="1" customFormat="1" ht="15.75" x14ac:dyDescent="0.25">
      <c r="A188" s="5">
        <v>2</v>
      </c>
      <c r="B188" s="5" t="s">
        <v>192</v>
      </c>
      <c r="C188" s="5" t="s">
        <v>6</v>
      </c>
      <c r="D188" s="7">
        <v>100</v>
      </c>
      <c r="E188" s="7" t="s">
        <v>1</v>
      </c>
      <c r="F188" s="7">
        <v>119</v>
      </c>
      <c r="G188" s="7">
        <f>F188*D188/100</f>
        <v>119</v>
      </c>
      <c r="H188" s="7" t="s">
        <v>109</v>
      </c>
      <c r="I188" s="23">
        <f>90*50/90</f>
        <v>50</v>
      </c>
      <c r="J188" s="23">
        <v>0</v>
      </c>
      <c r="K188" s="23">
        <f>SUM(I188:J188)</f>
        <v>50</v>
      </c>
      <c r="L188" s="14">
        <f>($H$179/$G$179*G188)/100*K188</f>
        <v>326.10800667501167</v>
      </c>
    </row>
    <row r="189" spans="1:12" s="9" customFormat="1" ht="15.75" x14ac:dyDescent="0.25">
      <c r="A189" s="5">
        <v>3</v>
      </c>
      <c r="B189" s="5" t="s">
        <v>168</v>
      </c>
      <c r="C189" s="5" t="s">
        <v>6</v>
      </c>
      <c r="D189" s="7">
        <v>100</v>
      </c>
      <c r="E189" s="7" t="s">
        <v>1</v>
      </c>
      <c r="F189" s="7">
        <v>119</v>
      </c>
      <c r="G189" s="7">
        <f t="shared" ref="G189:G202" si="12">F189*D189/100</f>
        <v>119</v>
      </c>
      <c r="H189" s="7" t="s">
        <v>169</v>
      </c>
      <c r="I189" s="23">
        <f>89*50/100</f>
        <v>44.5</v>
      </c>
      <c r="J189" s="23">
        <v>40</v>
      </c>
      <c r="K189" s="23">
        <f t="shared" ref="K189:K202" si="13">SUM(I189:J189)</f>
        <v>84.5</v>
      </c>
      <c r="L189" s="14">
        <f>($H$179/$G$179*G189)/100*K189</f>
        <v>551.12253128076975</v>
      </c>
    </row>
    <row r="190" spans="1:12" s="9" customFormat="1" ht="15.75" x14ac:dyDescent="0.25">
      <c r="A190" s="5">
        <v>4</v>
      </c>
      <c r="B190" s="5" t="s">
        <v>234</v>
      </c>
      <c r="C190" s="5" t="s">
        <v>6</v>
      </c>
      <c r="D190" s="7">
        <v>45.83</v>
      </c>
      <c r="E190" s="7" t="s">
        <v>1</v>
      </c>
      <c r="F190" s="7">
        <v>119</v>
      </c>
      <c r="G190" s="7">
        <f t="shared" si="12"/>
        <v>54.537699999999994</v>
      </c>
      <c r="H190" s="7" t="s">
        <v>102</v>
      </c>
      <c r="I190" s="23">
        <f>87*50/100</f>
        <v>43.5</v>
      </c>
      <c r="J190" s="23">
        <v>50</v>
      </c>
      <c r="K190" s="23">
        <f t="shared" si="13"/>
        <v>93.5</v>
      </c>
      <c r="L190" s="14">
        <f>($H$179/$G$179*G190)/100*K190</f>
        <v>279.48140998862516</v>
      </c>
    </row>
    <row r="191" spans="1:12" s="1" customFormat="1" ht="15.75" x14ac:dyDescent="0.25">
      <c r="A191" s="5">
        <v>5</v>
      </c>
      <c r="B191" s="5" t="s">
        <v>76</v>
      </c>
      <c r="C191" s="5" t="s">
        <v>6</v>
      </c>
      <c r="D191" s="7">
        <v>100</v>
      </c>
      <c r="E191" s="7" t="s">
        <v>1</v>
      </c>
      <c r="F191" s="7">
        <v>119</v>
      </c>
      <c r="G191" s="7">
        <f>F191*D191/100</f>
        <v>119</v>
      </c>
      <c r="H191" s="7" t="s">
        <v>109</v>
      </c>
      <c r="I191" s="23">
        <f>90*50/90</f>
        <v>50</v>
      </c>
      <c r="J191" s="23">
        <v>15</v>
      </c>
      <c r="K191" s="23">
        <f>SUM(I191:J191)</f>
        <v>65</v>
      </c>
      <c r="L191" s="14">
        <f>($H$106/$G$106*G191)/100*K191</f>
        <v>423.94040867751517</v>
      </c>
    </row>
    <row r="192" spans="1:12" s="1" customFormat="1" ht="15.75" x14ac:dyDescent="0.25">
      <c r="A192" s="5">
        <v>6</v>
      </c>
      <c r="B192" s="5" t="s">
        <v>214</v>
      </c>
      <c r="C192" s="5" t="s">
        <v>6</v>
      </c>
      <c r="D192" s="7">
        <v>50</v>
      </c>
      <c r="E192" s="7" t="s">
        <v>1</v>
      </c>
      <c r="F192" s="7">
        <v>119</v>
      </c>
      <c r="G192" s="7">
        <f>F192*D192/100</f>
        <v>59.5</v>
      </c>
      <c r="H192" s="7" t="s">
        <v>102</v>
      </c>
      <c r="I192" s="23">
        <f>71*50/100</f>
        <v>35.5</v>
      </c>
      <c r="J192" s="23">
        <v>50</v>
      </c>
      <c r="K192" s="23">
        <f>SUM(I192:J192)</f>
        <v>85.5</v>
      </c>
      <c r="L192" s="14">
        <f>($H$106/$G$106*G192)/100*K192</f>
        <v>278.82234570713496</v>
      </c>
    </row>
    <row r="193" spans="1:12" s="1" customFormat="1" ht="15.75" x14ac:dyDescent="0.25">
      <c r="A193" s="5">
        <v>7</v>
      </c>
      <c r="B193" s="5" t="s">
        <v>195</v>
      </c>
      <c r="C193" s="5" t="s">
        <v>6</v>
      </c>
      <c r="D193" s="7">
        <v>100</v>
      </c>
      <c r="E193" s="7" t="s">
        <v>1</v>
      </c>
      <c r="F193" s="7">
        <v>119</v>
      </c>
      <c r="G193" s="7">
        <f>F193*D193/100</f>
        <v>119</v>
      </c>
      <c r="H193" s="7" t="s">
        <v>193</v>
      </c>
      <c r="I193" s="23">
        <f>81*50/100</f>
        <v>40.5</v>
      </c>
      <c r="J193" s="23">
        <v>50</v>
      </c>
      <c r="K193" s="23">
        <f>SUM(I193:J193)</f>
        <v>90.5</v>
      </c>
      <c r="L193" s="14">
        <f>($H$106/$G$106*G193)/100*K193</f>
        <v>590.25549208177108</v>
      </c>
    </row>
    <row r="194" spans="1:12" s="9" customFormat="1" ht="15.75" x14ac:dyDescent="0.25">
      <c r="A194" s="5">
        <v>8</v>
      </c>
      <c r="B194" s="5" t="s">
        <v>179</v>
      </c>
      <c r="C194" s="5" t="s">
        <v>6</v>
      </c>
      <c r="D194" s="7">
        <v>100</v>
      </c>
      <c r="E194" s="7" t="s">
        <v>1</v>
      </c>
      <c r="F194" s="7">
        <v>119</v>
      </c>
      <c r="G194" s="7">
        <f t="shared" si="12"/>
        <v>119</v>
      </c>
      <c r="H194" s="7" t="s">
        <v>102</v>
      </c>
      <c r="I194" s="23">
        <f>92*50/100</f>
        <v>46</v>
      </c>
      <c r="J194" s="23">
        <v>0</v>
      </c>
      <c r="K194" s="23">
        <f t="shared" si="13"/>
        <v>46</v>
      </c>
      <c r="L194" s="14">
        <f>($H$106/$G$106*G194)/100*K194</f>
        <v>300.01936614101072</v>
      </c>
    </row>
    <row r="195" spans="1:12" s="9" customFormat="1" ht="15.75" x14ac:dyDescent="0.25">
      <c r="A195" s="5">
        <v>9</v>
      </c>
      <c r="B195" s="5" t="s">
        <v>190</v>
      </c>
      <c r="C195" s="5" t="s">
        <v>6</v>
      </c>
      <c r="D195" s="7">
        <v>100</v>
      </c>
      <c r="E195" s="7" t="s">
        <v>1</v>
      </c>
      <c r="F195" s="7">
        <v>119</v>
      </c>
      <c r="G195" s="7">
        <f t="shared" si="12"/>
        <v>119</v>
      </c>
      <c r="H195" s="7" t="s">
        <v>114</v>
      </c>
      <c r="I195" s="23">
        <f>77*50/100</f>
        <v>38.5</v>
      </c>
      <c r="J195" s="23">
        <v>40</v>
      </c>
      <c r="K195" s="23">
        <f t="shared" si="13"/>
        <v>78.5</v>
      </c>
      <c r="L195" s="14">
        <f>($H$106/$G$106*G195)/100*K195</f>
        <v>511.9895704797683</v>
      </c>
    </row>
    <row r="196" spans="1:12" s="9" customFormat="1" ht="15.75" x14ac:dyDescent="0.25">
      <c r="A196" s="5">
        <v>10</v>
      </c>
      <c r="B196" s="5" t="s">
        <v>153</v>
      </c>
      <c r="C196" s="5" t="s">
        <v>6</v>
      </c>
      <c r="D196" s="7">
        <v>100</v>
      </c>
      <c r="E196" s="7" t="s">
        <v>1</v>
      </c>
      <c r="F196" s="7">
        <v>119</v>
      </c>
      <c r="G196" s="7">
        <f t="shared" si="12"/>
        <v>119</v>
      </c>
      <c r="H196" s="7" t="s">
        <v>102</v>
      </c>
      <c r="I196" s="23">
        <f>91*50/100</f>
        <v>45.5</v>
      </c>
      <c r="J196" s="23">
        <v>50</v>
      </c>
      <c r="K196" s="23">
        <f t="shared" si="13"/>
        <v>95.5</v>
      </c>
      <c r="L196" s="14">
        <f>($H$179/$G$179*G196)/100*K196</f>
        <v>622.86629274927225</v>
      </c>
    </row>
    <row r="197" spans="1:12" s="9" customFormat="1" ht="15.75" x14ac:dyDescent="0.25">
      <c r="A197" s="5">
        <v>11</v>
      </c>
      <c r="B197" s="5" t="s">
        <v>180</v>
      </c>
      <c r="C197" s="5" t="s">
        <v>6</v>
      </c>
      <c r="D197" s="7">
        <v>100</v>
      </c>
      <c r="E197" s="7" t="s">
        <v>1</v>
      </c>
      <c r="F197" s="7">
        <v>119</v>
      </c>
      <c r="G197" s="7">
        <f t="shared" si="12"/>
        <v>119</v>
      </c>
      <c r="H197" s="7" t="s">
        <v>110</v>
      </c>
      <c r="I197" s="23">
        <f>93*50/100</f>
        <v>46.5</v>
      </c>
      <c r="J197" s="23">
        <v>15</v>
      </c>
      <c r="K197" s="23">
        <f t="shared" si="13"/>
        <v>61.5</v>
      </c>
      <c r="L197" s="14">
        <f>($H$179/$G$179*G197)/100*K197</f>
        <v>401.11284821026436</v>
      </c>
    </row>
    <row r="198" spans="1:12" s="9" customFormat="1" ht="15.75" x14ac:dyDescent="0.25">
      <c r="A198" s="5">
        <v>12</v>
      </c>
      <c r="B198" s="5" t="s">
        <v>154</v>
      </c>
      <c r="C198" s="5" t="s">
        <v>6</v>
      </c>
      <c r="D198" s="7">
        <v>100</v>
      </c>
      <c r="E198" s="7" t="s">
        <v>1</v>
      </c>
      <c r="F198" s="7">
        <v>119</v>
      </c>
      <c r="G198" s="7">
        <f t="shared" si="12"/>
        <v>119</v>
      </c>
      <c r="H198" s="7" t="s">
        <v>114</v>
      </c>
      <c r="I198" s="23">
        <f>90*50/100</f>
        <v>45</v>
      </c>
      <c r="J198" s="23">
        <v>0</v>
      </c>
      <c r="K198" s="23">
        <f t="shared" si="13"/>
        <v>45</v>
      </c>
      <c r="L198" s="14">
        <f>($H$179/$G$179*G198)/100*K198</f>
        <v>293.4972060075105</v>
      </c>
    </row>
    <row r="199" spans="1:12" s="9" customFormat="1" ht="15.75" x14ac:dyDescent="0.25">
      <c r="A199" s="5">
        <v>13</v>
      </c>
      <c r="B199" s="5" t="s">
        <v>181</v>
      </c>
      <c r="C199" s="5" t="s">
        <v>6</v>
      </c>
      <c r="D199" s="7">
        <v>100</v>
      </c>
      <c r="E199" s="7" t="s">
        <v>1</v>
      </c>
      <c r="F199" s="7">
        <v>119</v>
      </c>
      <c r="G199" s="7">
        <f t="shared" si="12"/>
        <v>119</v>
      </c>
      <c r="H199" s="7" t="s">
        <v>110</v>
      </c>
      <c r="I199" s="23">
        <f>93*50/100</f>
        <v>46.5</v>
      </c>
      <c r="J199" s="23">
        <v>25</v>
      </c>
      <c r="K199" s="23">
        <f t="shared" si="13"/>
        <v>71.5</v>
      </c>
      <c r="L199" s="14">
        <f>($H$179/$G$179*G199)/100*K199</f>
        <v>466.33444954526669</v>
      </c>
    </row>
    <row r="200" spans="1:12" s="9" customFormat="1" ht="15.75" x14ac:dyDescent="0.25">
      <c r="A200" s="5">
        <v>14</v>
      </c>
      <c r="B200" s="5" t="s">
        <v>155</v>
      </c>
      <c r="C200" s="5" t="s">
        <v>6</v>
      </c>
      <c r="D200" s="7">
        <v>100</v>
      </c>
      <c r="E200" s="7" t="s">
        <v>1</v>
      </c>
      <c r="F200" s="7">
        <v>119</v>
      </c>
      <c r="G200" s="7">
        <f t="shared" si="12"/>
        <v>119</v>
      </c>
      <c r="H200" s="7" t="s">
        <v>169</v>
      </c>
      <c r="I200" s="23">
        <f>89*50/100</f>
        <v>44.5</v>
      </c>
      <c r="J200" s="23">
        <v>40</v>
      </c>
      <c r="K200" s="23">
        <f t="shared" si="13"/>
        <v>84.5</v>
      </c>
      <c r="L200" s="14">
        <f>($H$179/$G$179*G200)/100*K200</f>
        <v>551.12253128076975</v>
      </c>
    </row>
    <row r="201" spans="1:12" s="9" customFormat="1" ht="15.75" x14ac:dyDescent="0.25">
      <c r="A201" s="5">
        <v>15</v>
      </c>
      <c r="B201" s="5" t="s">
        <v>170</v>
      </c>
      <c r="C201" s="5" t="s">
        <v>6</v>
      </c>
      <c r="D201" s="7">
        <v>100</v>
      </c>
      <c r="E201" s="7" t="s">
        <v>1</v>
      </c>
      <c r="F201" s="7">
        <v>119</v>
      </c>
      <c r="G201" s="7">
        <f t="shared" si="12"/>
        <v>119</v>
      </c>
      <c r="H201" s="7" t="s">
        <v>114</v>
      </c>
      <c r="I201" s="23">
        <f>89*50/100</f>
        <v>44.5</v>
      </c>
      <c r="J201" s="23">
        <v>25</v>
      </c>
      <c r="K201" s="23">
        <f t="shared" si="13"/>
        <v>69.5</v>
      </c>
      <c r="L201" s="14">
        <f>($H$179/$G$179*G201)/100*K201</f>
        <v>453.29012927826625</v>
      </c>
    </row>
    <row r="202" spans="1:12" s="9" customFormat="1" ht="15.75" x14ac:dyDescent="0.25">
      <c r="A202" s="5">
        <v>16</v>
      </c>
      <c r="B202" s="5" t="s">
        <v>156</v>
      </c>
      <c r="C202" s="5" t="s">
        <v>6</v>
      </c>
      <c r="D202" s="7">
        <v>100</v>
      </c>
      <c r="E202" s="7" t="s">
        <v>1</v>
      </c>
      <c r="F202" s="7">
        <v>119</v>
      </c>
      <c r="G202" s="7">
        <f t="shared" si="12"/>
        <v>119</v>
      </c>
      <c r="H202" s="7" t="s">
        <v>102</v>
      </c>
      <c r="I202" s="23">
        <f>92*50/100</f>
        <v>46</v>
      </c>
      <c r="J202" s="23">
        <v>50</v>
      </c>
      <c r="K202" s="23">
        <f t="shared" si="13"/>
        <v>96</v>
      </c>
      <c r="L202" s="14">
        <f>($H$179/$G$179*G202)/100*K202</f>
        <v>626.12737281602244</v>
      </c>
    </row>
    <row r="203" spans="1:12" s="9" customFormat="1" ht="15.75" x14ac:dyDescent="0.25">
      <c r="A203" s="8"/>
      <c r="B203" s="8"/>
      <c r="C203" s="8"/>
      <c r="D203" s="13"/>
      <c r="E203" s="13"/>
      <c r="F203" s="13"/>
      <c r="G203" s="13"/>
      <c r="H203" s="13"/>
      <c r="I203" s="31"/>
      <c r="J203" s="31"/>
      <c r="K203" s="31"/>
      <c r="L203" s="17"/>
    </row>
    <row r="204" spans="1:12" s="9" customFormat="1" ht="15.75" x14ac:dyDescent="0.25">
      <c r="A204" s="8"/>
      <c r="B204" s="8"/>
      <c r="C204" s="8"/>
      <c r="D204" s="20">
        <f>SUM(D187:D203)</f>
        <v>1425.83</v>
      </c>
      <c r="E204" s="13"/>
      <c r="F204" s="20">
        <f>SUM(F187:F203)</f>
        <v>1904</v>
      </c>
      <c r="G204" s="20">
        <f>SUM(G187:G203)</f>
        <v>1696.7376999999999</v>
      </c>
      <c r="H204" s="21">
        <f>G274/G272*G204</f>
        <v>9299.4915831486378</v>
      </c>
      <c r="I204" s="31"/>
      <c r="J204" s="31"/>
      <c r="K204" s="31"/>
      <c r="L204" s="17"/>
    </row>
    <row r="205" spans="1:12" s="9" customFormat="1" ht="15.75" x14ac:dyDescent="0.25">
      <c r="A205" s="8"/>
      <c r="B205" s="8"/>
      <c r="C205" s="8"/>
      <c r="D205" s="13"/>
      <c r="E205" s="13"/>
      <c r="F205" s="13"/>
      <c r="G205" s="13"/>
      <c r="H205" s="13"/>
      <c r="I205" s="32">
        <f>SUM(I189:I204)</f>
        <v>617</v>
      </c>
      <c r="J205" s="31"/>
      <c r="K205" s="32">
        <f>SUM(K189:K204)</f>
        <v>1067</v>
      </c>
      <c r="L205" s="17"/>
    </row>
    <row r="206" spans="1:12" s="9" customFormat="1" ht="15.75" x14ac:dyDescent="0.25">
      <c r="A206" s="8"/>
      <c r="B206" s="8"/>
      <c r="C206" s="8"/>
      <c r="D206" s="13"/>
      <c r="E206" s="13"/>
      <c r="F206" s="13"/>
      <c r="G206" s="13"/>
      <c r="H206" s="13"/>
      <c r="I206" s="31">
        <f>50*16</f>
        <v>800</v>
      </c>
      <c r="J206" s="31"/>
      <c r="K206" s="31"/>
      <c r="L206" s="17"/>
    </row>
    <row r="207" spans="1:12" s="9" customFormat="1" ht="15.75" x14ac:dyDescent="0.25">
      <c r="A207" s="8"/>
      <c r="B207" s="8"/>
      <c r="C207" s="8"/>
      <c r="D207" s="13"/>
      <c r="E207" s="13"/>
      <c r="F207" s="13"/>
      <c r="G207" s="13"/>
      <c r="H207" s="13"/>
      <c r="I207" s="31"/>
      <c r="J207" s="31"/>
      <c r="K207" s="31"/>
      <c r="L207" s="21">
        <f>SUM(L187:L206)</f>
        <v>6861.9715247237355</v>
      </c>
    </row>
    <row r="208" spans="1:12" s="1" customFormat="1" ht="15.75" x14ac:dyDescent="0.25">
      <c r="A208" s="5"/>
      <c r="B208" s="5"/>
      <c r="C208" s="8"/>
      <c r="D208" s="13"/>
      <c r="E208" s="13"/>
      <c r="F208" s="13"/>
      <c r="G208" s="13"/>
      <c r="H208" s="13"/>
      <c r="I208" s="31"/>
      <c r="J208" s="31"/>
      <c r="K208" s="31"/>
      <c r="L208" s="17">
        <f>H204-L207</f>
        <v>2437.5200584249023</v>
      </c>
    </row>
    <row r="209" spans="1:12" s="1" customFormat="1" ht="15.75" x14ac:dyDescent="0.25">
      <c r="A209" s="5"/>
      <c r="B209" s="5"/>
      <c r="C209" s="8"/>
      <c r="D209" s="13"/>
      <c r="E209" s="13"/>
      <c r="F209" s="13"/>
      <c r="G209" s="13"/>
      <c r="H209" s="13"/>
      <c r="I209" s="31"/>
      <c r="J209" s="31"/>
      <c r="K209" s="31"/>
      <c r="L209" s="17"/>
    </row>
    <row r="210" spans="1:12" s="1" customFormat="1" ht="15.75" x14ac:dyDescent="0.25">
      <c r="A210" s="5"/>
      <c r="B210" s="5"/>
      <c r="C210" s="8"/>
      <c r="D210" s="13"/>
      <c r="E210" s="13"/>
      <c r="F210" s="13"/>
      <c r="G210" s="13"/>
      <c r="H210" s="13"/>
      <c r="I210" s="31"/>
      <c r="J210" s="31"/>
      <c r="K210" s="31"/>
      <c r="L210" s="17"/>
    </row>
    <row r="211" spans="1:12" s="1" customFormat="1" ht="15.75" x14ac:dyDescent="0.25">
      <c r="A211" s="5"/>
      <c r="B211" s="5"/>
      <c r="C211" s="5"/>
      <c r="D211" s="7"/>
      <c r="E211" s="7"/>
      <c r="F211" s="7"/>
      <c r="G211" s="10" t="s">
        <v>35</v>
      </c>
      <c r="H211" s="10" t="s">
        <v>37</v>
      </c>
      <c r="I211" s="29" t="s">
        <v>39</v>
      </c>
      <c r="J211" s="29" t="s">
        <v>39</v>
      </c>
      <c r="K211" s="29" t="s">
        <v>39</v>
      </c>
      <c r="L211" s="15" t="s">
        <v>41</v>
      </c>
    </row>
    <row r="212" spans="1:12" s="1" customFormat="1" ht="15.75" x14ac:dyDescent="0.25">
      <c r="A212" s="5"/>
      <c r="B212" s="5"/>
      <c r="C212" s="2" t="s">
        <v>8</v>
      </c>
      <c r="D212" s="3" t="s">
        <v>9</v>
      </c>
      <c r="E212" s="3" t="s">
        <v>10</v>
      </c>
      <c r="F212" s="3" t="s">
        <v>34</v>
      </c>
      <c r="G212" s="3" t="s">
        <v>36</v>
      </c>
      <c r="H212" s="3" t="s">
        <v>38</v>
      </c>
      <c r="I212" s="30" t="s">
        <v>40</v>
      </c>
      <c r="J212" s="30" t="s">
        <v>100</v>
      </c>
      <c r="K212" s="30" t="s">
        <v>101</v>
      </c>
      <c r="L212" s="16" t="s">
        <v>42</v>
      </c>
    </row>
    <row r="213" spans="1:12" s="1" customFormat="1" ht="15.75" x14ac:dyDescent="0.25">
      <c r="A213" s="5"/>
      <c r="B213" s="5"/>
      <c r="C213" s="11"/>
      <c r="D213" s="10"/>
      <c r="E213" s="10"/>
      <c r="F213" s="10"/>
      <c r="G213" s="10"/>
      <c r="H213" s="10"/>
      <c r="I213" s="29"/>
      <c r="J213" s="29"/>
      <c r="K213" s="29"/>
      <c r="L213" s="15"/>
    </row>
    <row r="214" spans="1:12" s="1" customFormat="1" ht="15.75" x14ac:dyDescent="0.25">
      <c r="A214" s="5">
        <v>1</v>
      </c>
      <c r="B214" s="5" t="s">
        <v>185</v>
      </c>
      <c r="C214" s="5" t="s">
        <v>6</v>
      </c>
      <c r="D214" s="7">
        <v>100</v>
      </c>
      <c r="E214" s="7" t="s">
        <v>0</v>
      </c>
      <c r="F214" s="7">
        <v>130</v>
      </c>
      <c r="G214" s="7">
        <f>F214*D214/100</f>
        <v>130</v>
      </c>
      <c r="H214" s="7" t="s">
        <v>107</v>
      </c>
      <c r="I214" s="23">
        <f>91.5*50/100</f>
        <v>45.75</v>
      </c>
      <c r="J214" s="23">
        <v>50</v>
      </c>
      <c r="K214" s="23">
        <f>SUM(I214:J214)</f>
        <v>95.75</v>
      </c>
      <c r="L214" s="14">
        <f>($H$179/$G$179*G214)/100*K214</f>
        <v>682.22343077095934</v>
      </c>
    </row>
    <row r="215" spans="1:12" s="1" customFormat="1" ht="15.75" x14ac:dyDescent="0.25">
      <c r="A215" s="5">
        <v>2</v>
      </c>
      <c r="B215" s="5" t="s">
        <v>211</v>
      </c>
      <c r="C215" s="5" t="s">
        <v>6</v>
      </c>
      <c r="D215" s="7">
        <v>33.33</v>
      </c>
      <c r="E215" s="7" t="s">
        <v>0</v>
      </c>
      <c r="F215" s="7">
        <v>130</v>
      </c>
      <c r="G215" s="7">
        <f>F215*D215/100</f>
        <v>43.328999999999994</v>
      </c>
      <c r="H215" s="7" t="s">
        <v>107</v>
      </c>
      <c r="I215" s="23">
        <f>86*50/100</f>
        <v>43</v>
      </c>
      <c r="J215" s="23">
        <v>50</v>
      </c>
      <c r="K215" s="23">
        <f>SUM(I215:J215)</f>
        <v>93</v>
      </c>
      <c r="L215" s="14">
        <f>($H$179/$G$179*G215)/100*K215</f>
        <v>220.8544277938835</v>
      </c>
    </row>
    <row r="216" spans="1:12" s="1" customFormat="1" ht="15.75" x14ac:dyDescent="0.25">
      <c r="A216" s="5">
        <v>3</v>
      </c>
      <c r="B216" s="5" t="s">
        <v>184</v>
      </c>
      <c r="C216" s="5" t="s">
        <v>6</v>
      </c>
      <c r="D216" s="7">
        <v>56</v>
      </c>
      <c r="E216" s="7" t="s">
        <v>0</v>
      </c>
      <c r="F216" s="7">
        <v>130</v>
      </c>
      <c r="G216" s="7">
        <f>F216*D216/100</f>
        <v>72.8</v>
      </c>
      <c r="H216" s="7" t="s">
        <v>107</v>
      </c>
      <c r="I216" s="23">
        <f>80*50/100</f>
        <v>40</v>
      </c>
      <c r="J216" s="23">
        <v>0</v>
      </c>
      <c r="K216" s="23">
        <f>SUM(I216:J216)</f>
        <v>40</v>
      </c>
      <c r="L216" s="14">
        <f>($H$179/$G$179*G216)/100*K216</f>
        <v>159.60109503153512</v>
      </c>
    </row>
    <row r="217" spans="1:12" s="1" customFormat="1" ht="15.75" x14ac:dyDescent="0.25">
      <c r="A217" s="5">
        <v>4</v>
      </c>
      <c r="B217" s="5" t="s">
        <v>194</v>
      </c>
      <c r="C217" s="5" t="s">
        <v>6</v>
      </c>
      <c r="D217" s="7">
        <v>100</v>
      </c>
      <c r="E217" s="7" t="s">
        <v>0</v>
      </c>
      <c r="F217" s="7">
        <v>130</v>
      </c>
      <c r="G217" s="7">
        <f>F217*D217/100</f>
        <v>130</v>
      </c>
      <c r="H217" s="7" t="s">
        <v>193</v>
      </c>
      <c r="I217" s="23">
        <f>77*50/100</f>
        <v>38.5</v>
      </c>
      <c r="J217" s="23">
        <v>40</v>
      </c>
      <c r="K217" s="23">
        <f>SUM(I217:J217)</f>
        <v>78.5</v>
      </c>
      <c r="L217" s="14">
        <f>($H$179/$G$179*G217)/100*K217</f>
        <v>559.31633749890671</v>
      </c>
    </row>
    <row r="218" spans="1:12" s="1" customFormat="1" ht="15.75" x14ac:dyDescent="0.25">
      <c r="A218" s="5">
        <v>5</v>
      </c>
      <c r="B218" s="5" t="s">
        <v>157</v>
      </c>
      <c r="C218" s="5" t="s">
        <v>6</v>
      </c>
      <c r="D218" s="7">
        <v>100</v>
      </c>
      <c r="E218" s="7" t="s">
        <v>0</v>
      </c>
      <c r="F218" s="7">
        <v>130</v>
      </c>
      <c r="G218" s="7">
        <f t="shared" ref="G218:G228" si="14">F218*D218/100</f>
        <v>130</v>
      </c>
      <c r="H218" s="7" t="s">
        <v>107</v>
      </c>
      <c r="I218" s="23">
        <f>83*50/100</f>
        <v>41.5</v>
      </c>
      <c r="J218" s="23">
        <v>25</v>
      </c>
      <c r="K218" s="23">
        <f t="shared" ref="K218:K228" si="15">SUM(I218:J218)</f>
        <v>66.5</v>
      </c>
      <c r="L218" s="14">
        <f>($H$179/$G$179*G218)/100*K218</f>
        <v>473.81575087486999</v>
      </c>
    </row>
    <row r="219" spans="1:12" s="1" customFormat="1" ht="15.75" x14ac:dyDescent="0.25">
      <c r="A219" s="5">
        <v>6</v>
      </c>
      <c r="B219" s="5" t="s">
        <v>217</v>
      </c>
      <c r="C219" s="5" t="s">
        <v>6</v>
      </c>
      <c r="D219" s="7">
        <v>29</v>
      </c>
      <c r="E219" s="7" t="s">
        <v>0</v>
      </c>
      <c r="F219" s="7">
        <v>130</v>
      </c>
      <c r="G219" s="7">
        <f t="shared" si="14"/>
        <v>37.700000000000003</v>
      </c>
      <c r="H219" s="7" t="s">
        <v>193</v>
      </c>
      <c r="I219" s="23">
        <f>81*50/100</f>
        <v>40.5</v>
      </c>
      <c r="J219" s="23">
        <v>50</v>
      </c>
      <c r="K219" s="23">
        <f t="shared" si="15"/>
        <v>90.5</v>
      </c>
      <c r="L219" s="14">
        <f>($H$179/$G$179*G219)/100*K219</f>
        <v>186.99690799565357</v>
      </c>
    </row>
    <row r="220" spans="1:12" s="1" customFormat="1" ht="15.75" x14ac:dyDescent="0.25">
      <c r="A220" s="5">
        <v>7</v>
      </c>
      <c r="B220" s="5" t="s">
        <v>202</v>
      </c>
      <c r="C220" s="5" t="s">
        <v>6</v>
      </c>
      <c r="D220" s="7">
        <v>100</v>
      </c>
      <c r="E220" s="7" t="s">
        <v>0</v>
      </c>
      <c r="F220" s="7">
        <v>130</v>
      </c>
      <c r="G220" s="7">
        <f t="shared" si="14"/>
        <v>130</v>
      </c>
      <c r="H220" s="7" t="s">
        <v>107</v>
      </c>
      <c r="I220" s="23">
        <f>91.5*50/100</f>
        <v>45.75</v>
      </c>
      <c r="J220" s="23">
        <v>50</v>
      </c>
      <c r="K220" s="23">
        <f t="shared" si="15"/>
        <v>95.75</v>
      </c>
      <c r="L220" s="14">
        <f>($H$179/$G$179*G220)/100*K220</f>
        <v>682.22343077095934</v>
      </c>
    </row>
    <row r="221" spans="1:12" s="1" customFormat="1" ht="15.75" x14ac:dyDescent="0.25">
      <c r="A221" s="5">
        <v>8</v>
      </c>
      <c r="B221" s="5" t="s">
        <v>239</v>
      </c>
      <c r="C221" s="5" t="s">
        <v>6</v>
      </c>
      <c r="D221" s="7">
        <v>33.33</v>
      </c>
      <c r="E221" s="7" t="s">
        <v>0</v>
      </c>
      <c r="F221" s="7">
        <v>130</v>
      </c>
      <c r="G221" s="7">
        <f t="shared" si="14"/>
        <v>43.328999999999994</v>
      </c>
      <c r="H221" s="7" t="s">
        <v>107</v>
      </c>
      <c r="I221" s="23">
        <f>86*50/100</f>
        <v>43</v>
      </c>
      <c r="J221" s="23">
        <v>50</v>
      </c>
      <c r="K221" s="23">
        <f t="shared" si="15"/>
        <v>93</v>
      </c>
      <c r="L221" s="14">
        <f>($H$179/$G$179*G221)/100*K221</f>
        <v>220.8544277938835</v>
      </c>
    </row>
    <row r="222" spans="1:12" s="1" customFormat="1" ht="15.75" x14ac:dyDescent="0.25">
      <c r="A222" s="5">
        <v>9</v>
      </c>
      <c r="B222" s="5" t="s">
        <v>196</v>
      </c>
      <c r="C222" s="5" t="s">
        <v>6</v>
      </c>
      <c r="D222" s="7">
        <v>33.33</v>
      </c>
      <c r="E222" s="7" t="s">
        <v>0</v>
      </c>
      <c r="F222" s="7">
        <v>130</v>
      </c>
      <c r="G222" s="7">
        <f t="shared" si="14"/>
        <v>43.328999999999994</v>
      </c>
      <c r="H222" s="7" t="s">
        <v>193</v>
      </c>
      <c r="I222" s="23">
        <f>73*50/100</f>
        <v>36.5</v>
      </c>
      <c r="J222" s="23">
        <v>50</v>
      </c>
      <c r="K222" s="23">
        <f t="shared" si="15"/>
        <v>86.5</v>
      </c>
      <c r="L222" s="14">
        <f>($H$179/$G$179*G222)/100*K222</f>
        <v>205.41836563624648</v>
      </c>
    </row>
    <row r="223" spans="1:12" s="1" customFormat="1" ht="15.75" x14ac:dyDescent="0.25">
      <c r="A223" s="5">
        <v>10</v>
      </c>
      <c r="B223" s="5" t="s">
        <v>186</v>
      </c>
      <c r="C223" s="5" t="s">
        <v>238</v>
      </c>
      <c r="D223" s="7">
        <v>95.83</v>
      </c>
      <c r="E223" s="7" t="s">
        <v>29</v>
      </c>
      <c r="F223" s="7">
        <v>136</v>
      </c>
      <c r="G223" s="7">
        <f t="shared" si="14"/>
        <v>130.3288</v>
      </c>
      <c r="H223" s="7" t="s">
        <v>107</v>
      </c>
      <c r="I223" s="23">
        <f>85*50/100</f>
        <v>42.5</v>
      </c>
      <c r="J223" s="23">
        <v>40</v>
      </c>
      <c r="K223" s="23">
        <f t="shared" si="15"/>
        <v>82.5</v>
      </c>
      <c r="L223" s="14">
        <f>($H$179/$G$179*G223)/100*K223</f>
        <v>589.30325670228012</v>
      </c>
    </row>
    <row r="224" spans="1:12" s="1" customFormat="1" ht="15.75" x14ac:dyDescent="0.25">
      <c r="A224" s="5">
        <v>11</v>
      </c>
      <c r="B224" s="5" t="s">
        <v>197</v>
      </c>
      <c r="C224" s="5" t="s">
        <v>6</v>
      </c>
      <c r="D224" s="7">
        <v>100</v>
      </c>
      <c r="E224" s="7" t="s">
        <v>0</v>
      </c>
      <c r="F224" s="7">
        <v>130</v>
      </c>
      <c r="G224" s="7">
        <f t="shared" si="14"/>
        <v>130</v>
      </c>
      <c r="H224" s="7" t="s">
        <v>107</v>
      </c>
      <c r="I224" s="23">
        <f>83*50/100</f>
        <v>41.5</v>
      </c>
      <c r="J224" s="23">
        <v>50</v>
      </c>
      <c r="K224" s="23">
        <f t="shared" si="15"/>
        <v>91.5</v>
      </c>
      <c r="L224" s="14">
        <f>($H$179/$G$179*G224)/100*K224</f>
        <v>651.94197300827977</v>
      </c>
    </row>
    <row r="225" spans="1:12" s="1" customFormat="1" ht="15.75" x14ac:dyDescent="0.25">
      <c r="A225" s="5">
        <v>12</v>
      </c>
      <c r="B225" s="5" t="s">
        <v>158</v>
      </c>
      <c r="C225" s="5" t="s">
        <v>6</v>
      </c>
      <c r="D225" s="7">
        <v>50</v>
      </c>
      <c r="E225" s="7" t="s">
        <v>0</v>
      </c>
      <c r="F225" s="7">
        <v>130</v>
      </c>
      <c r="G225" s="7">
        <f t="shared" si="14"/>
        <v>65</v>
      </c>
      <c r="H225" s="7" t="s">
        <v>107</v>
      </c>
      <c r="I225" s="23">
        <f>91.5*50/100</f>
        <v>45.75</v>
      </c>
      <c r="J225" s="23">
        <v>50</v>
      </c>
      <c r="K225" s="23">
        <f t="shared" si="15"/>
        <v>95.75</v>
      </c>
      <c r="L225" s="14">
        <f>($H$179/$G$179*G225)/100*K225</f>
        <v>341.11171538547967</v>
      </c>
    </row>
    <row r="226" spans="1:12" s="1" customFormat="1" ht="15.75" x14ac:dyDescent="0.25">
      <c r="A226" s="5">
        <v>13</v>
      </c>
      <c r="B226" s="5" t="s">
        <v>226</v>
      </c>
      <c r="C226" s="5" t="s">
        <v>6</v>
      </c>
      <c r="D226" s="7">
        <v>29</v>
      </c>
      <c r="E226" s="7" t="s">
        <v>0</v>
      </c>
      <c r="F226" s="7">
        <v>130</v>
      </c>
      <c r="G226" s="7">
        <f t="shared" si="14"/>
        <v>37.700000000000003</v>
      </c>
      <c r="H226" s="7" t="s">
        <v>107</v>
      </c>
      <c r="I226" s="23">
        <f>86*50/100</f>
        <v>43</v>
      </c>
      <c r="J226" s="23">
        <v>50</v>
      </c>
      <c r="K226" s="23">
        <f t="shared" si="15"/>
        <v>93</v>
      </c>
      <c r="L226" s="14">
        <f>($H$179/$G$179*G226)/100*K226</f>
        <v>192.16256843752245</v>
      </c>
    </row>
    <row r="227" spans="1:12" s="1" customFormat="1" ht="15.75" x14ac:dyDescent="0.25">
      <c r="A227" s="5">
        <v>14</v>
      </c>
      <c r="B227" s="5" t="s">
        <v>159</v>
      </c>
      <c r="C227" s="5" t="s">
        <v>6</v>
      </c>
      <c r="D227" s="7">
        <v>58.33</v>
      </c>
      <c r="E227" s="7" t="s">
        <v>0</v>
      </c>
      <c r="F227" s="7">
        <v>130</v>
      </c>
      <c r="G227" s="7">
        <f t="shared" si="14"/>
        <v>75.828999999999994</v>
      </c>
      <c r="H227" s="7" t="s">
        <v>107</v>
      </c>
      <c r="I227" s="23">
        <f>87*50/100</f>
        <v>43.5</v>
      </c>
      <c r="J227" s="23">
        <v>0</v>
      </c>
      <c r="K227" s="23">
        <f t="shared" si="15"/>
        <v>43.5</v>
      </c>
      <c r="L227" s="14">
        <f>($H$179/$G$179*G227)/100*K227</f>
        <v>180.78778414452714</v>
      </c>
    </row>
    <row r="228" spans="1:12" ht="15.75" x14ac:dyDescent="0.25">
      <c r="A228" s="5">
        <v>15</v>
      </c>
      <c r="B228" s="4" t="s">
        <v>198</v>
      </c>
      <c r="C228" s="4" t="s">
        <v>6</v>
      </c>
      <c r="D228" s="6">
        <v>100</v>
      </c>
      <c r="E228" s="6" t="s">
        <v>0</v>
      </c>
      <c r="F228" s="6">
        <v>130</v>
      </c>
      <c r="G228" s="7">
        <f t="shared" si="14"/>
        <v>130</v>
      </c>
      <c r="H228" s="6" t="s">
        <v>107</v>
      </c>
      <c r="I228" s="34">
        <f>78*50/100</f>
        <v>39</v>
      </c>
      <c r="J228" s="34">
        <v>15</v>
      </c>
      <c r="K228" s="23">
        <f t="shared" si="15"/>
        <v>54</v>
      </c>
      <c r="L228" s="14">
        <f>($H$179/$G$179*G228)/100*K228</f>
        <v>384.7526398081651</v>
      </c>
    </row>
    <row r="229" spans="1:12" s="1" customFormat="1" ht="15.75" x14ac:dyDescent="0.25">
      <c r="A229" s="5"/>
      <c r="B229" s="5"/>
      <c r="C229" s="5"/>
      <c r="D229" s="7"/>
      <c r="E229" s="5"/>
      <c r="F229" s="7"/>
      <c r="G229" s="7"/>
      <c r="H229" s="7"/>
      <c r="I229" s="23"/>
      <c r="J229" s="23"/>
      <c r="K229" s="23"/>
      <c r="L229" s="14"/>
    </row>
    <row r="230" spans="1:12" s="1" customFormat="1" ht="15.75" x14ac:dyDescent="0.25">
      <c r="A230" s="5"/>
      <c r="B230" s="5"/>
      <c r="C230" s="8"/>
      <c r="D230" s="20">
        <f>SUM(D214:D229)</f>
        <v>1018.1500000000001</v>
      </c>
      <c r="E230" s="13"/>
      <c r="F230" s="20">
        <f>SUM(F214:F229)</f>
        <v>1956</v>
      </c>
      <c r="G230" s="20">
        <f>SUM(G214:G228)</f>
        <v>1329.3447999999999</v>
      </c>
      <c r="H230" s="21">
        <f>G274/G272*G230</f>
        <v>7285.8820657444039</v>
      </c>
      <c r="I230" s="31"/>
      <c r="J230" s="31"/>
      <c r="K230" s="31"/>
      <c r="L230" s="17"/>
    </row>
    <row r="231" spans="1:12" s="1" customFormat="1" ht="15.75" x14ac:dyDescent="0.25">
      <c r="A231" s="5"/>
      <c r="B231" s="5"/>
      <c r="C231" s="8"/>
      <c r="D231" s="13"/>
      <c r="E231" s="13"/>
      <c r="F231" s="13"/>
      <c r="G231" s="13"/>
      <c r="H231" s="13"/>
      <c r="I231" s="32">
        <f>SUM(I214:I230)</f>
        <v>629.75</v>
      </c>
      <c r="J231" s="31"/>
      <c r="K231" s="32">
        <f>SUM(K214:K230)</f>
        <v>1199.75</v>
      </c>
      <c r="L231" s="17"/>
    </row>
    <row r="232" spans="1:12" s="1" customFormat="1" ht="15.75" x14ac:dyDescent="0.25">
      <c r="A232" s="5"/>
      <c r="B232" s="5"/>
      <c r="C232" s="8"/>
      <c r="D232" s="13"/>
      <c r="E232" s="13"/>
      <c r="F232" s="13"/>
      <c r="G232" s="13"/>
      <c r="H232" s="13"/>
      <c r="I232" s="31">
        <f>15*50</f>
        <v>750</v>
      </c>
      <c r="J232" s="31"/>
      <c r="K232" s="31"/>
      <c r="L232" s="17"/>
    </row>
    <row r="233" spans="1:12" s="1" customFormat="1" ht="15.75" x14ac:dyDescent="0.25">
      <c r="A233" s="5"/>
      <c r="B233" s="5"/>
      <c r="C233" s="8"/>
      <c r="D233" s="13"/>
      <c r="E233" s="13"/>
      <c r="F233" s="13"/>
      <c r="G233" s="13"/>
      <c r="H233" s="13"/>
      <c r="I233" s="31"/>
      <c r="J233" s="31"/>
      <c r="K233" s="31"/>
      <c r="L233" s="21">
        <f>SUM(L214:L232)</f>
        <v>5731.3641116531517</v>
      </c>
    </row>
    <row r="234" spans="1:12" s="1" customFormat="1" ht="15.75" x14ac:dyDescent="0.25">
      <c r="A234" s="5"/>
      <c r="B234" s="5"/>
      <c r="C234" s="8"/>
      <c r="D234" s="13"/>
      <c r="E234" s="13"/>
      <c r="F234" s="13"/>
      <c r="G234" s="13"/>
      <c r="H234" s="13"/>
      <c r="I234" s="31"/>
      <c r="J234" s="31"/>
      <c r="K234" s="31"/>
      <c r="L234" s="17">
        <f>H230-L233</f>
        <v>1554.5179540912522</v>
      </c>
    </row>
    <row r="235" spans="1:12" s="1" customFormat="1" ht="15.75" x14ac:dyDescent="0.25">
      <c r="A235" s="5"/>
      <c r="B235" s="5"/>
      <c r="C235" s="8"/>
      <c r="D235" s="13"/>
      <c r="E235" s="13"/>
      <c r="F235" s="13"/>
      <c r="G235" s="13"/>
      <c r="H235" s="13"/>
      <c r="I235" s="31"/>
      <c r="J235" s="31"/>
      <c r="K235" s="31"/>
      <c r="L235" s="17"/>
    </row>
    <row r="236" spans="1:12" s="1" customFormat="1" ht="15.75" x14ac:dyDescent="0.25">
      <c r="A236" s="5"/>
      <c r="B236" s="5"/>
      <c r="C236" s="8"/>
      <c r="D236" s="13"/>
      <c r="E236" s="13"/>
      <c r="F236" s="13"/>
      <c r="G236" s="13"/>
      <c r="H236" s="13"/>
      <c r="I236" s="31"/>
      <c r="J236" s="31"/>
      <c r="K236" s="31"/>
      <c r="L236" s="17"/>
    </row>
    <row r="237" spans="1:12" s="1" customFormat="1" ht="15.75" x14ac:dyDescent="0.25">
      <c r="A237" s="5"/>
      <c r="B237" s="5"/>
      <c r="C237" s="5"/>
      <c r="D237" s="7"/>
      <c r="E237" s="7"/>
      <c r="F237" s="7"/>
      <c r="G237" s="10" t="s">
        <v>35</v>
      </c>
      <c r="H237" s="10" t="s">
        <v>37</v>
      </c>
      <c r="I237" s="29" t="s">
        <v>39</v>
      </c>
      <c r="J237" s="29" t="s">
        <v>39</v>
      </c>
      <c r="K237" s="29" t="s">
        <v>39</v>
      </c>
      <c r="L237" s="15" t="s">
        <v>41</v>
      </c>
    </row>
    <row r="238" spans="1:12" s="12" customFormat="1" ht="15.75" x14ac:dyDescent="0.25">
      <c r="A238" s="11"/>
      <c r="B238" s="11"/>
      <c r="C238" s="2" t="s">
        <v>8</v>
      </c>
      <c r="D238" s="3" t="s">
        <v>9</v>
      </c>
      <c r="E238" s="3" t="s">
        <v>10</v>
      </c>
      <c r="F238" s="3" t="s">
        <v>34</v>
      </c>
      <c r="G238" s="3" t="s">
        <v>36</v>
      </c>
      <c r="H238" s="3" t="s">
        <v>38</v>
      </c>
      <c r="I238" s="30" t="s">
        <v>99</v>
      </c>
      <c r="J238" s="30" t="s">
        <v>122</v>
      </c>
      <c r="K238" s="30" t="s">
        <v>101</v>
      </c>
      <c r="L238" s="16" t="s">
        <v>42</v>
      </c>
    </row>
    <row r="239" spans="1:12" s="1" customFormat="1" ht="15.75" x14ac:dyDescent="0.25">
      <c r="A239" s="5"/>
      <c r="B239" s="5"/>
      <c r="C239" s="5"/>
      <c r="D239" s="7"/>
      <c r="E239" s="7"/>
      <c r="F239" s="7"/>
      <c r="G239" s="7"/>
      <c r="H239" s="7"/>
      <c r="I239" s="23"/>
      <c r="J239" s="23"/>
      <c r="K239" s="23"/>
      <c r="L239" s="14"/>
    </row>
    <row r="240" spans="1:12" s="1" customFormat="1" ht="15.75" x14ac:dyDescent="0.25">
      <c r="A240" s="5">
        <v>1</v>
      </c>
      <c r="B240" s="5" t="s">
        <v>203</v>
      </c>
      <c r="C240" s="5" t="s">
        <v>6</v>
      </c>
      <c r="D240" s="7">
        <v>100</v>
      </c>
      <c r="E240" s="7" t="s">
        <v>3</v>
      </c>
      <c r="F240" s="7">
        <v>106</v>
      </c>
      <c r="G240" s="7">
        <f t="shared" ref="G240:G249" si="16">F240*D240/100</f>
        <v>106</v>
      </c>
      <c r="H240" s="7" t="s">
        <v>44</v>
      </c>
      <c r="I240" s="23">
        <f>84*50/90</f>
        <v>46.666666666666664</v>
      </c>
      <c r="J240" s="23">
        <v>50</v>
      </c>
      <c r="K240" s="23">
        <f t="shared" ref="K240:K241" si="17">SUM(I240:J240)</f>
        <v>96.666666666666657</v>
      </c>
      <c r="L240" s="14">
        <f>($H$251/$G$251*G240)/100*K240</f>
        <v>561.60000701343745</v>
      </c>
    </row>
    <row r="241" spans="1:12" s="1" customFormat="1" ht="15.75" x14ac:dyDescent="0.25">
      <c r="A241" s="5">
        <v>2</v>
      </c>
      <c r="B241" s="5" t="s">
        <v>92</v>
      </c>
      <c r="C241" s="5" t="s">
        <v>6</v>
      </c>
      <c r="D241" s="7">
        <v>100</v>
      </c>
      <c r="E241" s="5" t="s">
        <v>20</v>
      </c>
      <c r="F241" s="7">
        <v>105</v>
      </c>
      <c r="G241" s="7">
        <f t="shared" si="16"/>
        <v>105</v>
      </c>
      <c r="H241" s="7" t="s">
        <v>44</v>
      </c>
      <c r="I241" s="23">
        <f>82*50/90</f>
        <v>45.555555555555557</v>
      </c>
      <c r="J241" s="23">
        <v>15</v>
      </c>
      <c r="K241" s="23">
        <f t="shared" si="17"/>
        <v>60.555555555555557</v>
      </c>
      <c r="L241" s="14">
        <f>($H$251/$G$251*G241)/100*K241</f>
        <v>348.48796791741444</v>
      </c>
    </row>
    <row r="242" spans="1:12" s="1" customFormat="1" ht="15.75" x14ac:dyDescent="0.25">
      <c r="A242" s="5">
        <v>3</v>
      </c>
      <c r="B242" s="5" t="s">
        <v>97</v>
      </c>
      <c r="C242" s="5" t="s">
        <v>6</v>
      </c>
      <c r="D242" s="7">
        <v>41.67</v>
      </c>
      <c r="E242" s="5" t="s">
        <v>11</v>
      </c>
      <c r="F242" s="7">
        <v>113</v>
      </c>
      <c r="G242" s="7">
        <f t="shared" si="16"/>
        <v>47.0871</v>
      </c>
      <c r="H242" s="7" t="s">
        <v>44</v>
      </c>
      <c r="I242" s="23">
        <f>90*50/90</f>
        <v>50</v>
      </c>
      <c r="J242" s="23">
        <v>40</v>
      </c>
      <c r="K242" s="23">
        <f t="shared" ref="K242:K249" si="18">SUM(I242:J242)</f>
        <v>90</v>
      </c>
      <c r="L242" s="14">
        <f>($H$251/$G$251*G242)/100*K242</f>
        <v>232.26776956296217</v>
      </c>
    </row>
    <row r="243" spans="1:12" s="1" customFormat="1" ht="15.75" x14ac:dyDescent="0.25">
      <c r="A243" s="5">
        <v>4</v>
      </c>
      <c r="B243" s="5" t="s">
        <v>93</v>
      </c>
      <c r="C243" s="5" t="s">
        <v>6</v>
      </c>
      <c r="D243" s="7">
        <v>100</v>
      </c>
      <c r="E243" s="7" t="s">
        <v>2</v>
      </c>
      <c r="F243" s="7">
        <v>112</v>
      </c>
      <c r="G243" s="7">
        <f t="shared" si="16"/>
        <v>112</v>
      </c>
      <c r="H243" s="7" t="s">
        <v>44</v>
      </c>
      <c r="I243" s="23">
        <f>70*50/80</f>
        <v>43.75</v>
      </c>
      <c r="J243" s="23">
        <v>50</v>
      </c>
      <c r="K243" s="23">
        <f t="shared" si="18"/>
        <v>93.75</v>
      </c>
      <c r="L243" s="14">
        <f>($H$251/$G$251*G243)/100*K243</f>
        <v>575.48471766178523</v>
      </c>
    </row>
    <row r="244" spans="1:12" s="1" customFormat="1" ht="15.75" x14ac:dyDescent="0.25">
      <c r="A244" s="5">
        <v>5</v>
      </c>
      <c r="B244" s="5" t="s">
        <v>52</v>
      </c>
      <c r="C244" s="5" t="s">
        <v>7</v>
      </c>
      <c r="D244" s="7">
        <v>16.670000000000002</v>
      </c>
      <c r="E244" s="7" t="s">
        <v>4</v>
      </c>
      <c r="F244" s="7">
        <v>100</v>
      </c>
      <c r="G244" s="7">
        <f>F244*D244/100</f>
        <v>16.670000000000002</v>
      </c>
      <c r="H244" s="7" t="s">
        <v>44</v>
      </c>
      <c r="I244" s="23">
        <f>81*50/90</f>
        <v>45</v>
      </c>
      <c r="J244" s="23">
        <v>40</v>
      </c>
      <c r="K244" s="23">
        <f>SUM(I244:J244)</f>
        <v>85</v>
      </c>
      <c r="L244" s="14">
        <f>($H$106/$G$106*G244)/100*K244</f>
        <v>77.660292446749224</v>
      </c>
    </row>
    <row r="245" spans="1:12" s="1" customFormat="1" ht="15.75" x14ac:dyDescent="0.25">
      <c r="A245" s="5">
        <v>6</v>
      </c>
      <c r="B245" s="5" t="s">
        <v>96</v>
      </c>
      <c r="C245" s="24" t="s">
        <v>5</v>
      </c>
      <c r="D245" s="7">
        <v>50</v>
      </c>
      <c r="E245" s="5" t="s">
        <v>11</v>
      </c>
      <c r="F245" s="7">
        <v>113</v>
      </c>
      <c r="G245" s="7">
        <f t="shared" si="16"/>
        <v>56.5</v>
      </c>
      <c r="H245" s="7" t="s">
        <v>44</v>
      </c>
      <c r="I245" s="23">
        <f>82*50/100</f>
        <v>41</v>
      </c>
      <c r="J245" s="23">
        <v>40</v>
      </c>
      <c r="K245" s="23">
        <f t="shared" si="18"/>
        <v>81</v>
      </c>
      <c r="L245" s="14">
        <f>($H$251/$G$251*G245)/100*K245</f>
        <v>250.82912479801524</v>
      </c>
    </row>
    <row r="246" spans="1:12" s="1" customFormat="1" ht="15.75" x14ac:dyDescent="0.25">
      <c r="A246" s="5">
        <v>7</v>
      </c>
      <c r="B246" s="5" t="s">
        <v>171</v>
      </c>
      <c r="C246" s="5" t="s">
        <v>6</v>
      </c>
      <c r="D246" s="7">
        <v>100</v>
      </c>
      <c r="E246" s="5" t="s">
        <v>20</v>
      </c>
      <c r="F246" s="7">
        <v>105</v>
      </c>
      <c r="G246" s="7">
        <f t="shared" si="16"/>
        <v>105</v>
      </c>
      <c r="H246" s="7" t="s">
        <v>44</v>
      </c>
      <c r="I246" s="23">
        <f>95*50/100</f>
        <v>47.5</v>
      </c>
      <c r="J246" s="23">
        <v>25</v>
      </c>
      <c r="K246" s="23">
        <f t="shared" si="18"/>
        <v>72.5</v>
      </c>
      <c r="L246" s="14">
        <f>($H$251/$G$251*G246)/100*K246</f>
        <v>417.22642030479432</v>
      </c>
    </row>
    <row r="247" spans="1:12" s="1" customFormat="1" ht="15.75" x14ac:dyDescent="0.25">
      <c r="A247" s="5">
        <v>8</v>
      </c>
      <c r="B247" s="5" t="s">
        <v>94</v>
      </c>
      <c r="C247" s="5" t="s">
        <v>6</v>
      </c>
      <c r="D247" s="7">
        <v>52</v>
      </c>
      <c r="E247" s="5" t="s">
        <v>20</v>
      </c>
      <c r="F247" s="7">
        <v>105</v>
      </c>
      <c r="G247" s="7">
        <f>F247*D247/100</f>
        <v>54.6</v>
      </c>
      <c r="H247" s="7" t="s">
        <v>44</v>
      </c>
      <c r="I247" s="23">
        <f>85*50/90</f>
        <v>47.222222222222221</v>
      </c>
      <c r="J247" s="23">
        <v>0</v>
      </c>
      <c r="K247" s="23">
        <f t="shared" si="18"/>
        <v>47.222222222222221</v>
      </c>
      <c r="L247" s="14">
        <f>($H$251/$G$251*G247)/100*K247</f>
        <v>141.31346955917172</v>
      </c>
    </row>
    <row r="248" spans="1:12" s="1" customFormat="1" ht="15.75" x14ac:dyDescent="0.25">
      <c r="A248" s="5">
        <v>9</v>
      </c>
      <c r="B248" s="5" t="s">
        <v>61</v>
      </c>
      <c r="C248" s="5" t="s">
        <v>6</v>
      </c>
      <c r="D248" s="7">
        <v>58.33</v>
      </c>
      <c r="E248" s="5" t="s">
        <v>11</v>
      </c>
      <c r="F248" s="7">
        <v>113</v>
      </c>
      <c r="G248" s="7">
        <f t="shared" si="16"/>
        <v>65.912899999999993</v>
      </c>
      <c r="H248" s="7" t="s">
        <v>44</v>
      </c>
      <c r="I248" s="23">
        <f>90*50/90</f>
        <v>50</v>
      </c>
      <c r="J248" s="23">
        <v>25</v>
      </c>
      <c r="K248" s="23">
        <f t="shared" si="18"/>
        <v>75</v>
      </c>
      <c r="L248" s="14">
        <f>($H$251/$G$251*G248)/100*K248</f>
        <v>270.94190461978201</v>
      </c>
    </row>
    <row r="249" spans="1:12" s="1" customFormat="1" ht="15.75" x14ac:dyDescent="0.25">
      <c r="A249" s="5">
        <v>10</v>
      </c>
      <c r="B249" s="5" t="s">
        <v>98</v>
      </c>
      <c r="C249" s="5" t="s">
        <v>6</v>
      </c>
      <c r="D249" s="7">
        <v>100</v>
      </c>
      <c r="E249" s="5" t="s">
        <v>11</v>
      </c>
      <c r="F249" s="7">
        <v>113</v>
      </c>
      <c r="G249" s="7">
        <f t="shared" si="16"/>
        <v>113</v>
      </c>
      <c r="H249" s="7" t="s">
        <v>44</v>
      </c>
      <c r="I249" s="23">
        <f>90*50/90</f>
        <v>50</v>
      </c>
      <c r="J249" s="23">
        <v>50</v>
      </c>
      <c r="K249" s="23">
        <f t="shared" si="18"/>
        <v>100</v>
      </c>
      <c r="L249" s="14">
        <f>($H$251/$G$251*G249)/100*K249</f>
        <v>619.33117234077838</v>
      </c>
    </row>
    <row r="250" spans="1:12" s="1" customFormat="1" ht="15.75" x14ac:dyDescent="0.25">
      <c r="A250" s="5"/>
      <c r="B250" s="5"/>
      <c r="C250" s="5"/>
      <c r="D250" s="7"/>
      <c r="E250" s="7"/>
      <c r="F250" s="7"/>
      <c r="G250" s="7"/>
      <c r="H250" s="7"/>
      <c r="I250" s="23"/>
      <c r="J250" s="23"/>
      <c r="K250" s="23"/>
      <c r="L250" s="14"/>
    </row>
    <row r="251" spans="1:12" s="9" customFormat="1" ht="15.75" x14ac:dyDescent="0.25">
      <c r="A251" s="8"/>
      <c r="B251" s="8"/>
      <c r="C251" s="8"/>
      <c r="D251" s="20">
        <f>SUM(D240:D250)</f>
        <v>718.67000000000007</v>
      </c>
      <c r="E251" s="13"/>
      <c r="F251" s="20">
        <f>SUM(F240:F250)</f>
        <v>1085</v>
      </c>
      <c r="G251" s="20">
        <f>SUM(G240:G250)</f>
        <v>781.7700000000001</v>
      </c>
      <c r="H251" s="21">
        <f>G274/G272*G251</f>
        <v>4284.7303592995613</v>
      </c>
      <c r="I251" s="31"/>
      <c r="J251" s="31"/>
      <c r="K251" s="31"/>
      <c r="L251" s="17"/>
    </row>
    <row r="252" spans="1:12" s="9" customFormat="1" ht="15.75" x14ac:dyDescent="0.25">
      <c r="A252" s="8"/>
      <c r="B252" s="8"/>
      <c r="C252" s="8"/>
      <c r="D252" s="13"/>
      <c r="E252" s="13"/>
      <c r="F252" s="13"/>
      <c r="G252" s="13"/>
      <c r="H252" s="13"/>
      <c r="I252" s="32">
        <f>SUM(I241:I251)</f>
        <v>420.02777777777777</v>
      </c>
      <c r="J252" s="31"/>
      <c r="K252" s="32">
        <f>SUM(K241:K251)</f>
        <v>705.02777777777771</v>
      </c>
      <c r="L252" s="17"/>
    </row>
    <row r="253" spans="1:12" s="9" customFormat="1" ht="15.75" x14ac:dyDescent="0.25">
      <c r="A253" s="8"/>
      <c r="B253" s="8"/>
      <c r="C253" s="8"/>
      <c r="D253" s="13"/>
      <c r="E253" s="13"/>
      <c r="F253" s="13"/>
      <c r="G253" s="13"/>
      <c r="H253" s="13"/>
      <c r="I253" s="31">
        <f>50*10</f>
        <v>500</v>
      </c>
      <c r="J253" s="31"/>
      <c r="K253" s="31"/>
      <c r="L253" s="17"/>
    </row>
    <row r="254" spans="1:12" s="9" customFormat="1" ht="15.75" x14ac:dyDescent="0.25">
      <c r="A254" s="8"/>
      <c r="B254" s="8"/>
      <c r="C254" s="8"/>
      <c r="D254" s="13"/>
      <c r="E254" s="13"/>
      <c r="F254" s="13"/>
      <c r="G254" s="13"/>
      <c r="H254" s="13"/>
      <c r="I254" s="31"/>
      <c r="J254" s="31"/>
      <c r="K254" s="31"/>
      <c r="L254" s="21">
        <f>SUM(L240:L253)</f>
        <v>3495.14284622489</v>
      </c>
    </row>
    <row r="255" spans="1:12" s="9" customFormat="1" ht="15.75" x14ac:dyDescent="0.25">
      <c r="A255" s="8"/>
      <c r="B255" s="8"/>
      <c r="C255" s="8"/>
      <c r="D255" s="13"/>
      <c r="E255" s="13"/>
      <c r="F255" s="13"/>
      <c r="G255" s="13"/>
      <c r="H255" s="13"/>
      <c r="I255" s="31"/>
      <c r="J255" s="31"/>
      <c r="K255" s="31"/>
      <c r="L255" s="17">
        <f>H251-L254</f>
        <v>789.58751307467128</v>
      </c>
    </row>
    <row r="256" spans="1:12" s="9" customFormat="1" ht="15.75" x14ac:dyDescent="0.25">
      <c r="A256" s="8"/>
      <c r="B256" s="8"/>
      <c r="C256" s="8"/>
      <c r="D256" s="13"/>
      <c r="E256" s="13"/>
      <c r="F256" s="13"/>
      <c r="G256" s="13"/>
      <c r="H256" s="13"/>
      <c r="I256" s="31"/>
      <c r="J256" s="31"/>
      <c r="K256" s="31"/>
      <c r="L256" s="17"/>
    </row>
    <row r="257" spans="1:12" s="9" customFormat="1" ht="15.75" x14ac:dyDescent="0.25">
      <c r="A257" s="8"/>
      <c r="B257" s="8"/>
      <c r="C257" s="8"/>
      <c r="D257" s="13"/>
      <c r="E257" s="13"/>
      <c r="F257" s="13"/>
      <c r="G257" s="13"/>
      <c r="H257" s="13"/>
      <c r="I257" s="31"/>
      <c r="J257" s="31"/>
      <c r="K257" s="31"/>
      <c r="L257" s="17"/>
    </row>
    <row r="258" spans="1:12" s="9" customFormat="1" ht="15.75" x14ac:dyDescent="0.25">
      <c r="A258" s="5"/>
      <c r="B258" s="5"/>
      <c r="C258" s="5"/>
      <c r="D258" s="7"/>
      <c r="E258" s="7"/>
      <c r="F258" s="7"/>
      <c r="G258" s="10" t="s">
        <v>35</v>
      </c>
      <c r="H258" s="10" t="s">
        <v>37</v>
      </c>
      <c r="I258" s="29" t="s">
        <v>39</v>
      </c>
      <c r="J258" s="29" t="s">
        <v>39</v>
      </c>
      <c r="K258" s="29" t="s">
        <v>39</v>
      </c>
      <c r="L258" s="15" t="s">
        <v>41</v>
      </c>
    </row>
    <row r="259" spans="1:12" s="9" customFormat="1" ht="15.75" x14ac:dyDescent="0.25">
      <c r="A259" s="11"/>
      <c r="B259" s="11"/>
      <c r="C259" s="2" t="s">
        <v>8</v>
      </c>
      <c r="D259" s="3" t="s">
        <v>9</v>
      </c>
      <c r="E259" s="3" t="s">
        <v>10</v>
      </c>
      <c r="F259" s="3" t="s">
        <v>34</v>
      </c>
      <c r="G259" s="3" t="s">
        <v>36</v>
      </c>
      <c r="H259" s="3" t="s">
        <v>38</v>
      </c>
      <c r="I259" s="30" t="s">
        <v>99</v>
      </c>
      <c r="J259" s="30" t="s">
        <v>122</v>
      </c>
      <c r="K259" s="30" t="s">
        <v>101</v>
      </c>
      <c r="L259" s="16" t="s">
        <v>42</v>
      </c>
    </row>
    <row r="260" spans="1:12" s="9" customFormat="1" ht="15.75" x14ac:dyDescent="0.25">
      <c r="A260" s="5"/>
      <c r="B260" s="5"/>
      <c r="C260" s="5"/>
      <c r="D260" s="7"/>
      <c r="E260" s="7"/>
      <c r="F260" s="7"/>
      <c r="G260" s="7"/>
      <c r="H260" s="7"/>
      <c r="I260" s="23"/>
      <c r="J260" s="23"/>
      <c r="K260" s="23"/>
      <c r="L260" s="14"/>
    </row>
    <row r="261" spans="1:12" s="9" customFormat="1" ht="15.75" x14ac:dyDescent="0.25">
      <c r="A261" s="5">
        <v>1</v>
      </c>
      <c r="B261" s="5" t="s">
        <v>174</v>
      </c>
      <c r="C261" s="28" t="s">
        <v>172</v>
      </c>
      <c r="D261" s="7">
        <v>22.22</v>
      </c>
      <c r="E261" s="5" t="s">
        <v>0</v>
      </c>
      <c r="F261" s="7">
        <v>130</v>
      </c>
      <c r="G261" s="7">
        <f t="shared" ref="G261" si="19">F261*D261/100</f>
        <v>28.885999999999999</v>
      </c>
      <c r="H261" s="7" t="s">
        <v>173</v>
      </c>
      <c r="I261" s="23">
        <f>82*50/100</f>
        <v>41</v>
      </c>
      <c r="J261" s="23">
        <v>50</v>
      </c>
      <c r="K261" s="23">
        <f t="shared" ref="K261" si="20">SUM(I261:J261)</f>
        <v>91</v>
      </c>
      <c r="L261" s="14">
        <f>($H$263/$G$263*G261)/100*K261</f>
        <v>144.06991347127885</v>
      </c>
    </row>
    <row r="262" spans="1:12" s="1" customFormat="1" ht="15.75" x14ac:dyDescent="0.25">
      <c r="A262" s="5"/>
      <c r="B262" s="5"/>
      <c r="C262" s="23"/>
      <c r="D262" s="7"/>
      <c r="E262" s="7"/>
      <c r="F262" s="7"/>
      <c r="G262" s="7"/>
      <c r="H262" s="7"/>
      <c r="I262" s="23"/>
      <c r="J262" s="23"/>
      <c r="K262" s="23"/>
      <c r="L262" s="14"/>
    </row>
    <row r="263" spans="1:12" s="1" customFormat="1" ht="15.75" x14ac:dyDescent="0.25">
      <c r="A263" s="5"/>
      <c r="B263" s="5"/>
      <c r="C263" s="8"/>
      <c r="D263" s="20">
        <f>SUM(D261:D262)</f>
        <v>22.22</v>
      </c>
      <c r="E263" s="13"/>
      <c r="F263" s="20">
        <f>SUM(F261:F262)</f>
        <v>130</v>
      </c>
      <c r="G263" s="20">
        <f>SUM(G261:G262)</f>
        <v>28.885999999999999</v>
      </c>
      <c r="H263" s="21">
        <f>G274/G272*G263</f>
        <v>158.31858623217457</v>
      </c>
      <c r="I263" s="31"/>
      <c r="J263" s="31"/>
      <c r="K263" s="31"/>
      <c r="L263" s="17"/>
    </row>
    <row r="264" spans="1:12" s="1" customFormat="1" ht="15.75" x14ac:dyDescent="0.25">
      <c r="A264" s="5"/>
      <c r="B264" s="5"/>
      <c r="C264" s="8"/>
      <c r="D264" s="13"/>
      <c r="E264" s="13"/>
      <c r="F264" s="13"/>
      <c r="G264" s="13"/>
      <c r="H264" s="13"/>
      <c r="I264" s="32">
        <f>SUM(I261:I263)</f>
        <v>41</v>
      </c>
      <c r="J264" s="31"/>
      <c r="K264" s="32">
        <f>SUM(K261:K263)</f>
        <v>91</v>
      </c>
      <c r="L264" s="17"/>
    </row>
    <row r="265" spans="1:12" s="1" customFormat="1" ht="15.75" x14ac:dyDescent="0.25">
      <c r="A265" s="5"/>
      <c r="B265" s="5"/>
      <c r="C265" s="8"/>
      <c r="D265" s="13"/>
      <c r="E265" s="13"/>
      <c r="F265" s="13"/>
      <c r="G265" s="13"/>
      <c r="H265" s="13"/>
      <c r="I265" s="31">
        <f>50*1</f>
        <v>50</v>
      </c>
      <c r="J265" s="31"/>
      <c r="K265" s="31"/>
      <c r="L265" s="17"/>
    </row>
    <row r="266" spans="1:12" s="1" customFormat="1" ht="15.75" x14ac:dyDescent="0.25">
      <c r="A266" s="5"/>
      <c r="B266" s="5"/>
      <c r="C266" s="8"/>
      <c r="D266" s="13"/>
      <c r="E266" s="13"/>
      <c r="F266" s="13"/>
      <c r="G266" s="13"/>
      <c r="H266" s="13"/>
      <c r="I266" s="31"/>
      <c r="J266" s="31"/>
      <c r="K266" s="31"/>
      <c r="L266" s="21">
        <f>SUM(L261:L265)</f>
        <v>144.06991347127885</v>
      </c>
    </row>
    <row r="267" spans="1:12" s="1" customFormat="1" ht="15.75" x14ac:dyDescent="0.25">
      <c r="A267" s="5"/>
      <c r="B267" s="5"/>
      <c r="C267" s="8"/>
      <c r="D267" s="13"/>
      <c r="E267" s="13"/>
      <c r="F267" s="13"/>
      <c r="G267" s="13"/>
      <c r="H267" s="13"/>
      <c r="I267" s="31"/>
      <c r="J267" s="31"/>
      <c r="K267" s="31"/>
      <c r="L267" s="17">
        <f>H263-L266</f>
        <v>14.248672760895715</v>
      </c>
    </row>
    <row r="268" spans="1:12" s="1" customFormat="1" ht="15.75" x14ac:dyDescent="0.25">
      <c r="A268" s="5"/>
      <c r="B268" s="5"/>
      <c r="C268" s="23"/>
      <c r="D268" s="7"/>
      <c r="E268" s="7"/>
      <c r="F268" s="7"/>
      <c r="G268" s="7"/>
      <c r="H268" s="7"/>
      <c r="I268" s="23"/>
      <c r="J268" s="23"/>
      <c r="K268" s="23"/>
      <c r="L268" s="14"/>
    </row>
    <row r="269" spans="1:12" s="1" customFormat="1" ht="15.75" x14ac:dyDescent="0.25">
      <c r="A269" s="5"/>
      <c r="B269" s="5"/>
      <c r="C269" s="23"/>
      <c r="D269" s="7"/>
      <c r="E269" s="7"/>
      <c r="F269" s="7"/>
      <c r="G269" s="7"/>
      <c r="H269" s="7"/>
      <c r="I269" s="23"/>
      <c r="J269" s="23"/>
      <c r="K269" s="23"/>
      <c r="L269" s="14"/>
    </row>
    <row r="270" spans="1:12" s="1" customFormat="1" ht="15.75" x14ac:dyDescent="0.25">
      <c r="A270" s="5"/>
      <c r="B270" s="5"/>
      <c r="C270" s="23"/>
      <c r="D270" s="7"/>
      <c r="E270" s="7"/>
      <c r="F270" s="7"/>
      <c r="G270" s="7"/>
      <c r="H270" s="7"/>
      <c r="I270" s="23"/>
      <c r="J270" s="23"/>
      <c r="K270" s="23"/>
      <c r="L270" s="14"/>
    </row>
    <row r="271" spans="1:12" s="1" customFormat="1" ht="15.75" x14ac:dyDescent="0.25">
      <c r="A271" s="5"/>
      <c r="B271" s="5"/>
      <c r="C271" s="5"/>
      <c r="D271" s="7"/>
      <c r="E271" s="7"/>
      <c r="F271" s="7"/>
      <c r="G271" s="7"/>
      <c r="H271" s="7"/>
      <c r="I271" s="23"/>
      <c r="J271" s="23"/>
      <c r="K271" s="23"/>
      <c r="L271" s="14"/>
    </row>
    <row r="272" spans="1:12" s="9" customFormat="1" ht="15.75" x14ac:dyDescent="0.25">
      <c r="A272" s="8"/>
      <c r="B272" s="8"/>
      <c r="C272" s="8"/>
      <c r="D272" s="13"/>
      <c r="E272" s="13"/>
      <c r="F272" s="13"/>
      <c r="G272" s="13">
        <f>G106+G134+G148+G166+G179+G204+G230+G251+G263</f>
        <v>16037.784699999998</v>
      </c>
      <c r="H272" s="13"/>
      <c r="I272" s="31"/>
      <c r="J272" s="31"/>
      <c r="K272" s="31"/>
      <c r="L272" s="17"/>
    </row>
    <row r="273" spans="1:12" s="1" customFormat="1" ht="16.5" thickBot="1" x14ac:dyDescent="0.3">
      <c r="A273" s="5"/>
      <c r="B273" s="5"/>
      <c r="C273" s="5"/>
      <c r="D273" s="7"/>
      <c r="E273" s="7"/>
      <c r="F273" s="7"/>
      <c r="G273" s="7"/>
      <c r="H273" s="7"/>
      <c r="I273" s="23"/>
      <c r="J273" s="23"/>
      <c r="K273" s="23"/>
      <c r="L273" s="14"/>
    </row>
    <row r="274" spans="1:12" s="9" customFormat="1" ht="16.5" thickBot="1" x14ac:dyDescent="0.3">
      <c r="A274" s="8"/>
      <c r="B274" s="8"/>
      <c r="C274" s="8"/>
      <c r="D274" s="13"/>
      <c r="E274" s="13"/>
      <c r="F274" s="13"/>
      <c r="G274" s="19">
        <v>87900</v>
      </c>
      <c r="H274" s="21">
        <f>H106+H134+H148+H166+H179+H204+H230+H251+H263</f>
        <v>87900</v>
      </c>
      <c r="I274" s="31"/>
      <c r="J274" s="31"/>
      <c r="K274" s="31"/>
      <c r="L274" s="17"/>
    </row>
    <row r="275" spans="1:12" s="1" customFormat="1" ht="15.75" x14ac:dyDescent="0.25">
      <c r="A275" s="5"/>
      <c r="B275" s="5"/>
      <c r="C275" s="5"/>
      <c r="D275" s="7"/>
      <c r="E275" s="7"/>
      <c r="F275" s="7"/>
      <c r="G275" s="7"/>
      <c r="H275" s="7"/>
      <c r="I275" s="23"/>
      <c r="J275" s="23"/>
      <c r="K275" s="23"/>
      <c r="L275" s="14"/>
    </row>
    <row r="276" spans="1:12" s="9" customFormat="1" ht="15.75" x14ac:dyDescent="0.25">
      <c r="A276" s="8"/>
      <c r="B276" s="8"/>
      <c r="C276" s="8"/>
      <c r="D276" s="13"/>
      <c r="E276" s="13"/>
      <c r="F276" s="13"/>
      <c r="G276" s="13"/>
      <c r="H276" s="13"/>
      <c r="I276" s="31"/>
      <c r="J276" s="31"/>
      <c r="K276" s="31"/>
      <c r="L276" s="17">
        <f>L109+L137+L151+L169+L182+L207+L233+L254+L266</f>
        <v>70851.075515660224</v>
      </c>
    </row>
    <row r="277" spans="1:12" s="9" customFormat="1" ht="16.5" thickBot="1" x14ac:dyDescent="0.3">
      <c r="A277" s="8"/>
      <c r="B277" s="8"/>
      <c r="C277" s="8"/>
      <c r="D277" s="13"/>
      <c r="E277" s="13"/>
      <c r="F277" s="13"/>
      <c r="G277" s="13"/>
      <c r="H277" s="13"/>
      <c r="I277" s="31"/>
      <c r="J277" s="31"/>
      <c r="K277" s="31"/>
      <c r="L277" s="17">
        <f>D278-L276</f>
        <v>33.17371248989366</v>
      </c>
    </row>
    <row r="278" spans="1:12" s="1" customFormat="1" ht="16.5" thickBot="1" x14ac:dyDescent="0.3">
      <c r="A278" s="5"/>
      <c r="B278" s="5"/>
      <c r="C278" s="37"/>
      <c r="D278" s="38">
        <f>'[1]utilizzo fondo 2021'!$N$45</f>
        <v>70884.249228150118</v>
      </c>
      <c r="E278" s="7"/>
      <c r="F278" s="7">
        <v>169</v>
      </c>
      <c r="G278" s="7"/>
      <c r="H278" s="7"/>
      <c r="I278" s="23"/>
      <c r="J278" s="23"/>
      <c r="K278" s="23"/>
      <c r="L278" s="14"/>
    </row>
    <row r="279" spans="1:12" x14ac:dyDescent="0.25">
      <c r="F279" s="6">
        <f>D278/F278</f>
        <v>419.43342738550365</v>
      </c>
    </row>
    <row r="283" spans="1:12" x14ac:dyDescent="0.25">
      <c r="C283" s="4">
        <v>69619.214317882099</v>
      </c>
    </row>
    <row r="290" spans="3:3" ht="37.5" customHeight="1" x14ac:dyDescent="0.4">
      <c r="C290" s="22"/>
    </row>
    <row r="291" spans="3:3" ht="26.25" x14ac:dyDescent="0.4">
      <c r="C291" s="22"/>
    </row>
    <row r="292" spans="3:3" ht="26.25" x14ac:dyDescent="0.4">
      <c r="C292" s="22"/>
    </row>
    <row r="293" spans="3:3" ht="26.25" x14ac:dyDescent="0.4">
      <c r="C293" s="22"/>
    </row>
  </sheetData>
  <phoneticPr fontId="7" type="noConversion"/>
  <printOptions gridLines="1"/>
  <pageMargins left="0.7" right="0.7" top="0.75" bottom="0.75" header="0.3" footer="0.3"/>
  <pageSetup paperSize="9" scale="68" orientation="landscape" r:id="rId1"/>
  <ignoredErrors>
    <ignoredError sqref="L191 L144 L244 I24 I28 I122 I58:I59 I44 I64 I79 I198 I125 I127 I89 I91:I93 I95 I97 I99 I130" formula="1"/>
    <ignoredError sqref="C26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"/>
  <sheetViews>
    <sheetView workbookViewId="0">
      <selection activeCell="H23" sqref="H23"/>
    </sheetView>
  </sheetViews>
  <sheetFormatPr defaultRowHeight="15" x14ac:dyDescent="0.25"/>
  <cols>
    <col min="1" max="1" width="12.7109375" style="4" customWidth="1"/>
    <col min="2" max="2" width="22.5703125" style="6" customWidth="1"/>
    <col min="3" max="3" width="15.28515625" style="6" customWidth="1"/>
  </cols>
  <sheetData>
    <row r="1" spans="1:3" s="1" customFormat="1" ht="15.75" x14ac:dyDescent="0.25">
      <c r="A1" s="8" t="s">
        <v>21</v>
      </c>
      <c r="B1" s="7"/>
      <c r="C1" s="7"/>
    </row>
    <row r="2" spans="1:3" s="1" customFormat="1" ht="15.75" x14ac:dyDescent="0.25">
      <c r="A2" s="5"/>
      <c r="B2" s="7"/>
      <c r="C2" s="7"/>
    </row>
    <row r="3" spans="1:3" s="1" customFormat="1" ht="15.75" x14ac:dyDescent="0.25">
      <c r="A3" s="5"/>
      <c r="B3" s="7"/>
      <c r="C3" s="7"/>
    </row>
    <row r="4" spans="1:3" s="1" customFormat="1" ht="15.75" x14ac:dyDescent="0.25">
      <c r="A4" s="8" t="s">
        <v>22</v>
      </c>
      <c r="B4" s="7"/>
      <c r="C4" s="7"/>
    </row>
    <row r="5" spans="1:3" s="1" customFormat="1" ht="15.75" x14ac:dyDescent="0.25">
      <c r="A5" s="5"/>
      <c r="B5" s="7"/>
      <c r="C5" s="7"/>
    </row>
    <row r="6" spans="1:3" s="1" customFormat="1" ht="15.75" x14ac:dyDescent="0.25">
      <c r="A6" s="5"/>
      <c r="B6" s="7"/>
      <c r="C6" s="7"/>
    </row>
    <row r="7" spans="1:3" s="1" customFormat="1" ht="15.75" x14ac:dyDescent="0.25">
      <c r="A7" s="2" t="s">
        <v>23</v>
      </c>
      <c r="B7" s="3" t="s">
        <v>24</v>
      </c>
      <c r="C7" s="3" t="s">
        <v>25</v>
      </c>
    </row>
    <row r="8" spans="1:3" s="1" customFormat="1" ht="15.75" x14ac:dyDescent="0.25">
      <c r="A8" s="5"/>
      <c r="B8" s="7"/>
      <c r="C8" s="7"/>
    </row>
    <row r="9" spans="1:3" s="1" customFormat="1" ht="15.75" x14ac:dyDescent="0.25">
      <c r="A9" s="5" t="s">
        <v>4</v>
      </c>
      <c r="B9" s="7">
        <v>16314.57</v>
      </c>
      <c r="C9" s="7">
        <v>100</v>
      </c>
    </row>
    <row r="10" spans="1:3" s="1" customFormat="1" ht="15.75" x14ac:dyDescent="0.25">
      <c r="A10" s="5" t="s">
        <v>26</v>
      </c>
      <c r="B10" s="7">
        <v>16533.95</v>
      </c>
      <c r="C10" s="7">
        <f>((B10-B9)/B9)*100+100</f>
        <v>101.34468760132815</v>
      </c>
    </row>
    <row r="11" spans="1:3" s="1" customFormat="1" ht="15.75" x14ac:dyDescent="0.25">
      <c r="A11" s="5" t="s">
        <v>19</v>
      </c>
      <c r="B11" s="7">
        <v>16884.36</v>
      </c>
      <c r="C11" s="7">
        <f>((B11-B9)/B9)*100+100</f>
        <v>103.49252232820112</v>
      </c>
    </row>
    <row r="12" spans="1:3" s="1" customFormat="1" ht="15.75" x14ac:dyDescent="0.25">
      <c r="A12" s="5" t="s">
        <v>20</v>
      </c>
      <c r="B12" s="7">
        <v>17184.060000000001</v>
      </c>
      <c r="C12" s="7">
        <f>((B12-B9)/B9)*100+100</f>
        <v>105.3295305974966</v>
      </c>
    </row>
    <row r="13" spans="1:3" s="1" customFormat="1" ht="15.75" x14ac:dyDescent="0.25">
      <c r="A13" s="5" t="s">
        <v>27</v>
      </c>
      <c r="B13" s="7">
        <v>17539.650000000001</v>
      </c>
      <c r="C13" s="7">
        <f>((B13-B9)/B9)*100+100</f>
        <v>107.50911608457962</v>
      </c>
    </row>
    <row r="14" spans="1:3" s="1" customFormat="1" ht="15.75" x14ac:dyDescent="0.25">
      <c r="A14" s="5" t="s">
        <v>3</v>
      </c>
      <c r="B14" s="7">
        <v>17244.71</v>
      </c>
      <c r="C14" s="7">
        <f>((B14-B9)/B9)*100+100</f>
        <v>105.70128418953119</v>
      </c>
    </row>
    <row r="15" spans="1:3" s="1" customFormat="1" ht="15.75" x14ac:dyDescent="0.25">
      <c r="A15" s="5" t="s">
        <v>28</v>
      </c>
      <c r="B15" s="7">
        <v>17531.61</v>
      </c>
      <c r="C15" s="7">
        <f>((B15-B9)/B9)*100+100</f>
        <v>107.45983498185979</v>
      </c>
    </row>
    <row r="16" spans="1:3" s="1" customFormat="1" ht="15.75" x14ac:dyDescent="0.25">
      <c r="A16" s="5" t="s">
        <v>2</v>
      </c>
      <c r="B16" s="7">
        <v>18229.919999999998</v>
      </c>
      <c r="C16" s="7">
        <f>((B16-B9)/B9)*100+100</f>
        <v>111.74011941473174</v>
      </c>
    </row>
    <row r="17" spans="1:3" s="1" customFormat="1" ht="15.75" x14ac:dyDescent="0.25">
      <c r="A17" s="5" t="s">
        <v>11</v>
      </c>
      <c r="B17" s="7">
        <v>18496.61</v>
      </c>
      <c r="C17" s="7">
        <f>((B17-B9)/B9)*100+100</f>
        <v>113.37479320631803</v>
      </c>
    </row>
    <row r="18" spans="1:3" s="1" customFormat="1" ht="15.75" x14ac:dyDescent="0.25">
      <c r="A18" s="5" t="s">
        <v>12</v>
      </c>
      <c r="B18" s="7">
        <v>18808.79</v>
      </c>
      <c r="C18" s="7">
        <f>((B18-B9)/B9)*100+100</f>
        <v>115.28829751565625</v>
      </c>
    </row>
    <row r="19" spans="1:3" s="1" customFormat="1" ht="15.75" x14ac:dyDescent="0.25">
      <c r="A19" s="5" t="s">
        <v>17</v>
      </c>
      <c r="B19" s="7">
        <v>19143.580000000002</v>
      </c>
      <c r="C19" s="7">
        <f>((B19-B9)/B9)*100+100</f>
        <v>117.34038960266805</v>
      </c>
    </row>
    <row r="20" spans="1:3" s="1" customFormat="1" ht="15.75" x14ac:dyDescent="0.25">
      <c r="A20" s="5" t="s">
        <v>13</v>
      </c>
      <c r="B20" s="7">
        <v>19878.400000000001</v>
      </c>
      <c r="C20" s="7">
        <f>((B20-B9)/B9)*100+100</f>
        <v>121.84446172960735</v>
      </c>
    </row>
    <row r="21" spans="1:3" s="1" customFormat="1" ht="15.75" x14ac:dyDescent="0.25">
      <c r="A21" s="5" t="s">
        <v>1</v>
      </c>
      <c r="B21" s="7">
        <v>19454.150000000001</v>
      </c>
      <c r="C21" s="7">
        <f>((B21-B9)/B9)*100+100</f>
        <v>119.24402543248152</v>
      </c>
    </row>
    <row r="22" spans="1:3" s="1" customFormat="1" ht="15.75" x14ac:dyDescent="0.25">
      <c r="A22" s="5" t="s">
        <v>18</v>
      </c>
      <c r="B22" s="7">
        <v>19917.86</v>
      </c>
      <c r="C22" s="7">
        <f>((B22-B9)/B9)*100+100</f>
        <v>122.0863314203194</v>
      </c>
    </row>
    <row r="23" spans="1:3" s="1" customFormat="1" ht="15.75" x14ac:dyDescent="0.25">
      <c r="A23" s="5" t="s">
        <v>15</v>
      </c>
      <c r="B23" s="7">
        <v>20472.62</v>
      </c>
      <c r="C23" s="7">
        <f>((B23-B9)/B9)*100+100</f>
        <v>125.48672750798826</v>
      </c>
    </row>
    <row r="24" spans="1:3" s="1" customFormat="1" ht="15.75" x14ac:dyDescent="0.25">
      <c r="A24" s="5" t="s">
        <v>14</v>
      </c>
      <c r="B24" s="7">
        <v>21120.11</v>
      </c>
      <c r="C24" s="7">
        <f>((B24-B9)/B9)*100+100</f>
        <v>129.45551123934007</v>
      </c>
    </row>
    <row r="25" spans="1:3" s="1" customFormat="1" ht="15.75" x14ac:dyDescent="0.25">
      <c r="A25" s="5" t="s">
        <v>16</v>
      </c>
      <c r="B25" s="7">
        <v>21901.32</v>
      </c>
      <c r="C25" s="7">
        <f>((B25-B9)/B9)*100+100</f>
        <v>134.24393042538051</v>
      </c>
    </row>
    <row r="26" spans="1:3" s="1" customFormat="1" ht="15.75" x14ac:dyDescent="0.25">
      <c r="A26" s="5" t="s">
        <v>0</v>
      </c>
      <c r="B26" s="7">
        <v>21166.71</v>
      </c>
      <c r="C26" s="7">
        <f>((B26-B9)/B9)*100+100</f>
        <v>129.74114549142269</v>
      </c>
    </row>
    <row r="27" spans="1:3" s="1" customFormat="1" ht="15.75" x14ac:dyDescent="0.25">
      <c r="A27" s="5" t="s">
        <v>29</v>
      </c>
      <c r="B27" s="7">
        <v>22203.89</v>
      </c>
      <c r="C27" s="7">
        <f>((B27-B9)/B9)*100+100</f>
        <v>136.09853033208967</v>
      </c>
    </row>
    <row r="28" spans="1:3" s="1" customFormat="1" ht="15.75" x14ac:dyDescent="0.25">
      <c r="A28" s="5" t="s">
        <v>30</v>
      </c>
      <c r="B28" s="7">
        <v>24338.14</v>
      </c>
      <c r="C28" s="7">
        <f>((B28-B9)/B9)*100+100</f>
        <v>149.18039519276329</v>
      </c>
    </row>
    <row r="29" spans="1:3" s="1" customFormat="1" ht="15.75" x14ac:dyDescent="0.25">
      <c r="A29" s="5" t="s">
        <v>31</v>
      </c>
      <c r="B29" s="7">
        <v>25377.759999999998</v>
      </c>
      <c r="C29" s="7">
        <f>((B29-B9)/B9)*100+100</f>
        <v>155.55273598997707</v>
      </c>
    </row>
    <row r="30" spans="1:3" s="1" customFormat="1" ht="15.75" x14ac:dyDescent="0.25">
      <c r="A30" s="5" t="s">
        <v>32</v>
      </c>
      <c r="B30" s="7">
        <v>26510.86</v>
      </c>
      <c r="C30" s="7">
        <f>((B30-B9)/B9)*100+100</f>
        <v>162.49806154866479</v>
      </c>
    </row>
    <row r="31" spans="1:3" s="1" customFormat="1" ht="15.75" x14ac:dyDescent="0.25">
      <c r="A31" s="5" t="s">
        <v>33</v>
      </c>
      <c r="B31" s="7">
        <v>28342.720000000001</v>
      </c>
      <c r="C31" s="7">
        <f>((B31-B9)/B9)*100+100</f>
        <v>173.72642981089911</v>
      </c>
    </row>
    <row r="32" spans="1:3" s="1" customFormat="1" ht="15.75" x14ac:dyDescent="0.25">
      <c r="A32" s="5"/>
      <c r="B32" s="7"/>
      <c r="C32" s="7"/>
    </row>
    <row r="33" spans="1:3" s="1" customFormat="1" ht="15.75" x14ac:dyDescent="0.25">
      <c r="A33" s="5"/>
      <c r="B33" s="7"/>
      <c r="C33" s="7"/>
    </row>
    <row r="34" spans="1:3" s="1" customFormat="1" ht="15.75" x14ac:dyDescent="0.25">
      <c r="A34" s="5"/>
      <c r="B34" s="7"/>
      <c r="C34" s="7"/>
    </row>
    <row r="35" spans="1:3" s="1" customFormat="1" ht="15.75" x14ac:dyDescent="0.25">
      <c r="A35" s="5"/>
      <c r="B35" s="7"/>
      <c r="C35" s="7"/>
    </row>
    <row r="36" spans="1:3" s="1" customFormat="1" ht="15.75" x14ac:dyDescent="0.25">
      <c r="A36" s="5"/>
      <c r="B36" s="7"/>
      <c r="C36" s="7"/>
    </row>
    <row r="37" spans="1:3" s="1" customFormat="1" ht="15.75" x14ac:dyDescent="0.25">
      <c r="A37" s="5"/>
      <c r="B37" s="7"/>
      <c r="C37" s="7"/>
    </row>
    <row r="38" spans="1:3" s="1" customFormat="1" ht="15.75" x14ac:dyDescent="0.25">
      <c r="A38" s="5"/>
      <c r="B38" s="7"/>
      <c r="C38" s="7"/>
    </row>
    <row r="39" spans="1:3" s="1" customFormat="1" ht="15.75" x14ac:dyDescent="0.25">
      <c r="A39" s="5"/>
      <c r="B39" s="7"/>
      <c r="C39" s="7"/>
    </row>
    <row r="40" spans="1:3" s="1" customFormat="1" ht="15.75" x14ac:dyDescent="0.25">
      <c r="A40" s="5"/>
      <c r="B40" s="7"/>
      <c r="C4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elenco pers</vt:lpstr>
      <vt:lpstr>Parametri</vt:lpstr>
      <vt:lpstr>'elenco pers'!Area_stampa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Pisani</dc:creator>
  <cp:lastModifiedBy>Letizia Gennari</cp:lastModifiedBy>
  <cp:lastPrinted>2014-11-13T10:14:15Z</cp:lastPrinted>
  <dcterms:created xsi:type="dcterms:W3CDTF">2007-12-27T12:19:30Z</dcterms:created>
  <dcterms:modified xsi:type="dcterms:W3CDTF">2023-07-18T09:23:01Z</dcterms:modified>
</cp:coreProperties>
</file>